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5450" windowHeight="9165" firstSheet="1" activeTab="2"/>
  </bookViews>
  <sheets>
    <sheet name="Пр 3  " sheetId="1" state="hidden" r:id="rId1"/>
    <sheet name="Пр 1 10-11 " sheetId="2" r:id="rId2"/>
    <sheet name="Норма, пр 2" sheetId="3" r:id="rId3"/>
  </sheets>
  <definedNames>
    <definedName name="_xlnm.Print_Area" localSheetId="2">'Норма, пр 2'!$A$1:$G$37</definedName>
    <definedName name="_xlnm.Print_Area" localSheetId="1">'Пр 1 10-11 '!$A$1:$AV$63</definedName>
    <definedName name="_xlnm.Print_Area" localSheetId="0">'Пр 3  '!$A$1:$J$32</definedName>
  </definedNames>
  <calcPr fullCalcOnLoad="1"/>
</workbook>
</file>

<file path=xl/sharedStrings.xml><?xml version="1.0" encoding="utf-8"?>
<sst xmlns="http://schemas.openxmlformats.org/spreadsheetml/2006/main" count="182" uniqueCount="77">
  <si>
    <t>Период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</si>
  <si>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</si>
  <si>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</si>
  <si>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</si>
  <si>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</si>
  <si>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</si>
  <si>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</si>
  <si>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</si>
  <si>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Итого</t>
  </si>
  <si>
    <t>Приложение 2</t>
  </si>
  <si>
    <t xml:space="preserve">Расчет средневзвешенной расчетной температуры внутреннего воздуха за  </t>
  </si>
  <si>
    <t xml:space="preserve">Наимено-вание </t>
  </si>
  <si>
    <t>q</t>
  </si>
  <si>
    <t>Приложение 3</t>
  </si>
  <si>
    <t>Отклоне-ние, + / -     Гкал / м2          (гр.2-гр.3)</t>
  </si>
  <si>
    <t>Топливная состав. тарифа на т/э, тенге/Гкал</t>
  </si>
  <si>
    <t>Перерасчет (+/-),    тенге/ м2 (гр.4*гр.5)</t>
  </si>
  <si>
    <t>Приложение 1</t>
  </si>
  <si>
    <t>Числа месяца</t>
  </si>
  <si>
    <t xml:space="preserve">Расчет к Приложению 3 </t>
  </si>
  <si>
    <t xml:space="preserve"> n1</t>
  </si>
  <si>
    <t>Расчетные</t>
  </si>
  <si>
    <t>показатели</t>
  </si>
  <si>
    <t xml:space="preserve">Отклонение от норматива </t>
  </si>
  <si>
    <t>Гкал/м2</t>
  </si>
  <si>
    <r>
      <t xml:space="preserve"> t</t>
    </r>
    <r>
      <rPr>
        <sz val="8"/>
        <rFont val="Arial Cyr"/>
        <family val="0"/>
      </rPr>
      <t xml:space="preserve"> н * </t>
    </r>
    <r>
      <rPr>
        <sz val="12"/>
        <rFont val="Arial Cyr"/>
        <family val="0"/>
      </rPr>
      <t>n</t>
    </r>
    <r>
      <rPr>
        <sz val="10"/>
        <rFont val="Arial Cyr"/>
        <family val="0"/>
      </rPr>
      <t xml:space="preserve"> </t>
    </r>
  </si>
  <si>
    <r>
      <t>q</t>
    </r>
    <r>
      <rPr>
        <vertAlign val="superscript"/>
        <sz val="12"/>
        <rFont val="Arial Cyr"/>
        <family val="0"/>
      </rPr>
      <t>0,8</t>
    </r>
  </si>
  <si>
    <r>
      <t>t</t>
    </r>
    <r>
      <rPr>
        <sz val="10"/>
        <rFont val="Arial Cyr"/>
        <family val="0"/>
      </rPr>
      <t xml:space="preserve"> </t>
    </r>
    <r>
      <rPr>
        <vertAlign val="subscript"/>
        <sz val="12"/>
        <rFont val="Arial Cyr"/>
        <family val="0"/>
      </rPr>
      <t>1</t>
    </r>
    <r>
      <rPr>
        <sz val="10"/>
        <rFont val="Arial Cyr"/>
        <family val="0"/>
      </rPr>
      <t xml:space="preserve"> </t>
    </r>
  </si>
  <si>
    <r>
      <t xml:space="preserve"> t</t>
    </r>
    <r>
      <rPr>
        <sz val="8"/>
        <rFont val="Arial Cyr"/>
        <family val="0"/>
      </rPr>
      <t xml:space="preserve"> в * </t>
    </r>
    <r>
      <rPr>
        <sz val="12"/>
        <rFont val="Arial Cyr"/>
        <family val="0"/>
      </rPr>
      <t>n</t>
    </r>
    <r>
      <rPr>
        <sz val="10"/>
        <rFont val="Arial Cyr"/>
        <family val="0"/>
      </rPr>
      <t xml:space="preserve"> </t>
    </r>
  </si>
  <si>
    <r>
      <t xml:space="preserve"> t</t>
    </r>
    <r>
      <rPr>
        <b/>
        <sz val="8"/>
        <rFont val="Arial Cyr"/>
        <family val="2"/>
      </rPr>
      <t xml:space="preserve"> о </t>
    </r>
    <r>
      <rPr>
        <b/>
        <sz val="10"/>
        <rFont val="Arial Cyr"/>
        <family val="2"/>
      </rPr>
      <t xml:space="preserve"> </t>
    </r>
  </si>
  <si>
    <r>
      <t xml:space="preserve"> t</t>
    </r>
    <r>
      <rPr>
        <b/>
        <sz val="8"/>
        <rFont val="Arial Cyr"/>
        <family val="2"/>
      </rPr>
      <t xml:space="preserve"> н</t>
    </r>
    <r>
      <rPr>
        <b/>
        <vertAlign val="superscript"/>
        <sz val="12"/>
        <rFont val="Arial Cyr"/>
        <family val="2"/>
      </rPr>
      <t>1</t>
    </r>
    <r>
      <rPr>
        <b/>
        <sz val="8"/>
        <rFont val="Arial Cyr"/>
        <family val="2"/>
      </rPr>
      <t xml:space="preserve"> </t>
    </r>
    <r>
      <rPr>
        <b/>
        <sz val="10"/>
        <rFont val="Arial Cyr"/>
        <family val="2"/>
      </rPr>
      <t xml:space="preserve"> </t>
    </r>
  </si>
  <si>
    <r>
      <t xml:space="preserve"> t н</t>
    </r>
    <r>
      <rPr>
        <vertAlign val="superscript"/>
        <sz val="10"/>
        <rFont val="Arial Cyr"/>
        <family val="0"/>
      </rPr>
      <t>факт</t>
    </r>
    <r>
      <rPr>
        <sz val="10"/>
        <rFont val="Arial Cyr"/>
        <family val="0"/>
      </rPr>
      <t xml:space="preserve">  </t>
    </r>
  </si>
  <si>
    <r>
      <t xml:space="preserve"> t в</t>
    </r>
    <r>
      <rPr>
        <vertAlign val="superscript"/>
        <sz val="10"/>
        <rFont val="Arial Cyr"/>
        <family val="0"/>
      </rPr>
      <t>факт</t>
    </r>
    <r>
      <rPr>
        <sz val="10"/>
        <rFont val="Arial Cyr"/>
        <family val="0"/>
      </rPr>
      <t xml:space="preserve"> </t>
    </r>
  </si>
  <si>
    <r>
      <t xml:space="preserve"> Q</t>
    </r>
    <r>
      <rPr>
        <vertAlign val="subscript"/>
        <sz val="10"/>
        <rFont val="Arial Cyr"/>
        <family val="0"/>
      </rPr>
      <t>оу</t>
    </r>
    <r>
      <rPr>
        <vertAlign val="superscript"/>
        <sz val="10"/>
        <rFont val="Arial Cyr"/>
        <family val="0"/>
      </rPr>
      <t>факт</t>
    </r>
    <r>
      <rPr>
        <vertAlign val="subscript"/>
        <sz val="10"/>
        <rFont val="Arial Cyr"/>
        <family val="0"/>
      </rPr>
      <t xml:space="preserve"> </t>
    </r>
    <r>
      <rPr>
        <sz val="10"/>
        <rFont val="Arial Cyr"/>
        <family val="0"/>
      </rPr>
      <t>Гкал/м</t>
    </r>
    <r>
      <rPr>
        <vertAlign val="superscript"/>
        <sz val="10"/>
        <rFont val="Arial Cyr"/>
        <family val="0"/>
      </rPr>
      <t>2</t>
    </r>
  </si>
  <si>
    <r>
      <t xml:space="preserve"> Qоу</t>
    </r>
    <r>
      <rPr>
        <vertAlign val="superscript"/>
        <sz val="10"/>
        <rFont val="Arial Cyr"/>
        <family val="0"/>
      </rPr>
      <t xml:space="preserve">норма </t>
    </r>
    <r>
      <rPr>
        <sz val="10"/>
        <rFont val="Arial Cyr"/>
        <family val="0"/>
      </rPr>
      <t xml:space="preserve">
Гкал/ м2</t>
    </r>
  </si>
  <si>
    <r>
      <t>Qоу</t>
    </r>
    <r>
      <rPr>
        <vertAlign val="superscript"/>
        <sz val="10"/>
        <rFont val="Arial Cyr"/>
        <family val="0"/>
      </rPr>
      <t>факт</t>
    </r>
    <r>
      <rPr>
        <sz val="10"/>
        <rFont val="Arial Cyr"/>
        <family val="0"/>
      </rPr>
      <t xml:space="preserve"> Гкал/м2</t>
    </r>
  </si>
  <si>
    <r>
      <t xml:space="preserve"> n</t>
    </r>
    <r>
      <rPr>
        <vertAlign val="subscript"/>
        <sz val="12"/>
        <rFont val="Arial Cyr"/>
        <family val="2"/>
      </rPr>
      <t>1</t>
    </r>
    <r>
      <rPr>
        <sz val="12"/>
        <rFont val="Arial Cyr"/>
        <family val="2"/>
      </rPr>
      <t xml:space="preserve">             </t>
    </r>
    <r>
      <rPr>
        <sz val="10"/>
        <rFont val="Arial Cyr"/>
        <family val="2"/>
      </rPr>
      <t>(суток)</t>
    </r>
  </si>
  <si>
    <r>
      <t xml:space="preserve"> Q</t>
    </r>
    <r>
      <rPr>
        <vertAlign val="subscript"/>
        <sz val="12"/>
        <rFont val="Arial Cyr"/>
        <family val="2"/>
      </rPr>
      <t>оу</t>
    </r>
    <r>
      <rPr>
        <vertAlign val="superscript"/>
        <sz val="12"/>
        <rFont val="Arial Cyr"/>
        <family val="2"/>
      </rPr>
      <t>норма</t>
    </r>
    <r>
      <rPr>
        <b/>
        <vertAlign val="subscript"/>
        <sz val="12"/>
        <rFont val="Arial Cyr"/>
        <family val="2"/>
      </rPr>
      <t xml:space="preserve"> 
</t>
    </r>
    <r>
      <rPr>
        <sz val="10"/>
        <rFont val="Arial Cyr"/>
        <family val="2"/>
      </rPr>
      <t>Гкал/ м</t>
    </r>
    <r>
      <rPr>
        <vertAlign val="superscript"/>
        <sz val="12"/>
        <rFont val="Arial Cyr"/>
        <family val="2"/>
      </rPr>
      <t>2</t>
    </r>
  </si>
  <si>
    <r>
      <t>Расчет показателя</t>
    </r>
    <r>
      <rPr>
        <b/>
        <sz val="12"/>
        <rFont val="Arial Cyr"/>
        <family val="2"/>
      </rPr>
      <t xml:space="preserve">            </t>
    </r>
    <r>
      <rPr>
        <sz val="12"/>
        <rFont val="Arial Cyr"/>
        <family val="2"/>
      </rPr>
      <t>(</t>
    </r>
    <r>
      <rPr>
        <b/>
        <sz val="12"/>
        <rFont val="Arial Cyr"/>
        <family val="2"/>
      </rPr>
      <t xml:space="preserve">  t</t>
    </r>
    <r>
      <rPr>
        <b/>
        <vertAlign val="subscript"/>
        <sz val="12"/>
        <rFont val="Arial Cyr"/>
        <family val="2"/>
      </rPr>
      <t xml:space="preserve"> в</t>
    </r>
    <r>
      <rPr>
        <b/>
        <vertAlign val="superscript"/>
        <sz val="12"/>
        <rFont val="Arial Cyr"/>
        <family val="2"/>
      </rPr>
      <t>ср.расч.</t>
    </r>
    <r>
      <rPr>
        <vertAlign val="superscript"/>
        <sz val="12"/>
        <rFont val="Arial Cyr"/>
        <family val="2"/>
      </rPr>
      <t xml:space="preserve"> </t>
    </r>
    <r>
      <rPr>
        <sz val="12"/>
        <rFont val="Arial Cyr"/>
        <family val="2"/>
      </rPr>
      <t>)</t>
    </r>
    <r>
      <rPr>
        <b/>
        <sz val="12"/>
        <rFont val="Arial Cyr"/>
        <family val="2"/>
      </rPr>
      <t xml:space="preserve"> </t>
    </r>
  </si>
  <si>
    <r>
      <t xml:space="preserve"> t</t>
    </r>
    <r>
      <rPr>
        <b/>
        <vertAlign val="subscript"/>
        <sz val="12"/>
        <rFont val="Arial Cyr"/>
        <family val="2"/>
      </rPr>
      <t xml:space="preserve"> н 1</t>
    </r>
  </si>
  <si>
    <r>
      <t>q</t>
    </r>
    <r>
      <rPr>
        <b/>
        <vertAlign val="superscript"/>
        <sz val="12"/>
        <rFont val="Arial Cyr"/>
        <family val="2"/>
      </rPr>
      <t>0,8</t>
    </r>
  </si>
  <si>
    <r>
      <t xml:space="preserve">t </t>
    </r>
    <r>
      <rPr>
        <b/>
        <vertAlign val="subscript"/>
        <sz val="12"/>
        <rFont val="Arial Cyr"/>
        <family val="2"/>
      </rPr>
      <t>1</t>
    </r>
    <r>
      <rPr>
        <b/>
        <sz val="12"/>
        <rFont val="Arial Cyr"/>
        <family val="2"/>
      </rPr>
      <t xml:space="preserve"> </t>
    </r>
  </si>
  <si>
    <r>
      <t xml:space="preserve"> n</t>
    </r>
    <r>
      <rPr>
        <b/>
        <vertAlign val="subscript"/>
        <sz val="12"/>
        <rFont val="Arial Cyr"/>
        <family val="2"/>
      </rPr>
      <t xml:space="preserve"> 1</t>
    </r>
    <r>
      <rPr>
        <b/>
        <sz val="12"/>
        <rFont val="Arial Cyr"/>
        <family val="2"/>
      </rPr>
      <t xml:space="preserve"> </t>
    </r>
  </si>
  <si>
    <r>
      <t xml:space="preserve"> t </t>
    </r>
    <r>
      <rPr>
        <b/>
        <vertAlign val="subscript"/>
        <sz val="12"/>
        <rFont val="Arial Cyr"/>
        <family val="0"/>
      </rPr>
      <t>о</t>
    </r>
    <r>
      <rPr>
        <b/>
        <sz val="12"/>
        <rFont val="Arial Cyr"/>
        <family val="0"/>
      </rPr>
      <t xml:space="preserve">  </t>
    </r>
  </si>
  <si>
    <r>
      <t xml:space="preserve"> t н</t>
    </r>
    <r>
      <rPr>
        <b/>
        <vertAlign val="superscript"/>
        <sz val="12"/>
        <rFont val="Arial Cyr"/>
        <family val="0"/>
      </rPr>
      <t>1</t>
    </r>
    <r>
      <rPr>
        <b/>
        <sz val="12"/>
        <rFont val="Arial Cyr"/>
        <family val="0"/>
      </rPr>
      <t xml:space="preserve">  </t>
    </r>
  </si>
  <si>
    <r>
      <t xml:space="preserve"> t</t>
    </r>
    <r>
      <rPr>
        <vertAlign val="subscript"/>
        <sz val="12"/>
        <rFont val="Arial Cyr"/>
        <family val="2"/>
      </rPr>
      <t xml:space="preserve"> н1</t>
    </r>
    <r>
      <rPr>
        <vertAlign val="superscript"/>
        <sz val="12"/>
        <rFont val="Arial Cyr"/>
        <family val="2"/>
      </rPr>
      <t xml:space="preserve">расч </t>
    </r>
    <r>
      <rPr>
        <sz val="12"/>
        <rFont val="Arial Cyr"/>
        <family val="2"/>
      </rPr>
      <t xml:space="preserve"> </t>
    </r>
    <r>
      <rPr>
        <vertAlign val="superscript"/>
        <sz val="12"/>
        <rFont val="Arial Cyr"/>
        <family val="2"/>
      </rPr>
      <t xml:space="preserve">        </t>
    </r>
    <r>
      <rPr>
        <vertAlign val="superscript"/>
        <sz val="10"/>
        <rFont val="Arial Cyr"/>
        <family val="2"/>
      </rPr>
      <t xml:space="preserve"> </t>
    </r>
    <r>
      <rPr>
        <sz val="10"/>
        <rFont val="Arial Cyr"/>
        <family val="2"/>
      </rPr>
      <t>(</t>
    </r>
    <r>
      <rPr>
        <vertAlign val="superscript"/>
        <sz val="10"/>
        <rFont val="Arial Cyr"/>
        <family val="2"/>
      </rPr>
      <t>о</t>
    </r>
    <r>
      <rPr>
        <sz val="10"/>
        <rFont val="Arial Cyr"/>
        <family val="2"/>
      </rPr>
      <t xml:space="preserve">С)  </t>
    </r>
  </si>
  <si>
    <r>
      <t xml:space="preserve"> t </t>
    </r>
    <r>
      <rPr>
        <b/>
        <vertAlign val="subscript"/>
        <sz val="12"/>
        <rFont val="Arial Cyr"/>
        <family val="2"/>
      </rPr>
      <t>в1</t>
    </r>
    <r>
      <rPr>
        <vertAlign val="superscript"/>
        <sz val="12"/>
        <rFont val="Arial Cyr"/>
        <family val="2"/>
      </rPr>
      <t xml:space="preserve">расч </t>
    </r>
    <r>
      <rPr>
        <sz val="12"/>
        <rFont val="Arial Cyr"/>
        <family val="2"/>
      </rPr>
      <t xml:space="preserve">        </t>
    </r>
    <r>
      <rPr>
        <sz val="10"/>
        <rFont val="Arial Cyr"/>
        <family val="2"/>
      </rPr>
      <t xml:space="preserve"> (</t>
    </r>
    <r>
      <rPr>
        <vertAlign val="superscript"/>
        <sz val="10"/>
        <rFont val="Arial Cyr"/>
        <family val="2"/>
      </rPr>
      <t>о</t>
    </r>
    <r>
      <rPr>
        <sz val="10"/>
        <rFont val="Arial Cyr"/>
        <family val="2"/>
      </rPr>
      <t xml:space="preserve">С)  </t>
    </r>
  </si>
  <si>
    <r>
      <t xml:space="preserve"> t</t>
    </r>
    <r>
      <rPr>
        <b/>
        <vertAlign val="subscript"/>
        <sz val="12"/>
        <rFont val="Arial Cyr"/>
        <family val="2"/>
      </rPr>
      <t>в1</t>
    </r>
    <r>
      <rPr>
        <b/>
        <vertAlign val="superscript"/>
        <sz val="12"/>
        <rFont val="Arial Cyr"/>
        <family val="2"/>
      </rPr>
      <t>расч</t>
    </r>
    <r>
      <rPr>
        <sz val="12"/>
        <rFont val="Arial Cyr"/>
        <family val="2"/>
      </rPr>
      <t>х</t>
    </r>
    <r>
      <rPr>
        <b/>
        <sz val="12"/>
        <rFont val="Arial Cyr"/>
        <family val="2"/>
      </rPr>
      <t xml:space="preserve"> n</t>
    </r>
    <r>
      <rPr>
        <b/>
        <vertAlign val="subscript"/>
        <sz val="12"/>
        <rFont val="Arial Cyr"/>
        <family val="2"/>
      </rPr>
      <t xml:space="preserve"> 1</t>
    </r>
    <r>
      <rPr>
        <b/>
        <sz val="12"/>
        <rFont val="Arial Cyr"/>
        <family val="2"/>
      </rPr>
      <t xml:space="preserve"> </t>
    </r>
  </si>
  <si>
    <t>сентябрь</t>
  </si>
  <si>
    <r>
      <t>Температурный график 120/70</t>
    </r>
    <r>
      <rPr>
        <vertAlign val="superscript"/>
        <sz val="11"/>
        <rFont val="Arial Cyr"/>
        <family val="0"/>
      </rPr>
      <t>о</t>
    </r>
    <r>
      <rPr>
        <sz val="10"/>
        <rFont val="Arial Cyr"/>
        <family val="0"/>
      </rPr>
      <t>С, закрытый водоразбор</t>
    </r>
  </si>
  <si>
    <t>Температурный график                                                               (120 / 70), закрытый водоразбор</t>
  </si>
  <si>
    <r>
      <t xml:space="preserve">отопительный период ( </t>
    </r>
    <r>
      <rPr>
        <b/>
        <sz val="12"/>
        <rFont val="Arial Cyr"/>
        <family val="2"/>
      </rPr>
      <t xml:space="preserve">t </t>
    </r>
    <r>
      <rPr>
        <b/>
        <vertAlign val="subscript"/>
        <sz val="12"/>
        <rFont val="Arial Cyr"/>
        <family val="2"/>
      </rPr>
      <t>в</t>
    </r>
    <r>
      <rPr>
        <b/>
        <vertAlign val="superscript"/>
        <sz val="12"/>
        <rFont val="Arial Cyr"/>
        <family val="2"/>
      </rPr>
      <t>ср.расч.</t>
    </r>
    <r>
      <rPr>
        <vertAlign val="superscript"/>
        <sz val="12"/>
        <rFont val="Arial Cyr"/>
        <family val="2"/>
      </rPr>
      <t xml:space="preserve"> </t>
    </r>
    <r>
      <rPr>
        <sz val="12"/>
        <rFont val="Arial Cyr"/>
        <family val="2"/>
      </rPr>
      <t xml:space="preserve">) </t>
    </r>
  </si>
  <si>
    <t>ГКП"Кокшетау Жылу"</t>
  </si>
  <si>
    <t>Площадь , м2</t>
  </si>
  <si>
    <t>Месяц</t>
  </si>
  <si>
    <t>май</t>
  </si>
  <si>
    <t>Примечание:</t>
  </si>
  <si>
    <t>В связи с тем , что отопительный период  2012-2013 г. г. ещё не завершён , предприятие напрвляет вам предварительный перерасчёт  стоимости услуг по теплоснабжению</t>
  </si>
  <si>
    <t xml:space="preserve"> Перерасчет стоимости услуг по теплоснабжению за  </t>
  </si>
  <si>
    <t>ГКП на ПХВ  "Кокшетау Жылу"</t>
  </si>
  <si>
    <r>
      <t>Перерасчет (+/-), тенге/м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     (с НДС)</t>
    </r>
  </si>
  <si>
    <t>Перерасчет (+/-), тенге   (с НДС)</t>
  </si>
  <si>
    <t xml:space="preserve">Перерасчет стоимости услуг по теплоснабжению с учетом фактической температуры наружного воздуха   </t>
  </si>
  <si>
    <r>
      <t xml:space="preserve">Расчетный режим:  t </t>
    </r>
    <r>
      <rPr>
        <vertAlign val="subscript"/>
        <sz val="12"/>
        <rFont val="Arial Cyr"/>
        <family val="0"/>
      </rPr>
      <t>о</t>
    </r>
    <r>
      <rPr>
        <sz val="12"/>
        <rFont val="Arial Cyr"/>
        <family val="2"/>
      </rPr>
      <t xml:space="preserve"> = -33,7</t>
    </r>
    <r>
      <rPr>
        <vertAlign val="superscript"/>
        <sz val="12"/>
        <rFont val="Arial Cyr"/>
        <family val="2"/>
      </rPr>
      <t>о</t>
    </r>
    <r>
      <rPr>
        <sz val="12"/>
        <rFont val="Arial Cyr"/>
        <family val="2"/>
      </rPr>
      <t>С,  n</t>
    </r>
    <r>
      <rPr>
        <vertAlign val="subscript"/>
        <sz val="12"/>
        <rFont val="Arial Cyr"/>
        <family val="2"/>
      </rPr>
      <t xml:space="preserve">о </t>
    </r>
    <r>
      <rPr>
        <sz val="12"/>
        <rFont val="Arial Cyr"/>
        <family val="2"/>
      </rPr>
      <t xml:space="preserve">= 228 суток, t </t>
    </r>
    <r>
      <rPr>
        <vertAlign val="subscript"/>
        <sz val="12"/>
        <rFont val="Arial Cyr"/>
        <family val="0"/>
      </rPr>
      <t xml:space="preserve">от </t>
    </r>
    <r>
      <rPr>
        <sz val="12"/>
        <rFont val="Arial Cyr"/>
        <family val="2"/>
      </rPr>
      <t>= -5,1</t>
    </r>
    <r>
      <rPr>
        <vertAlign val="superscript"/>
        <sz val="12"/>
        <rFont val="Arial Cyr"/>
        <family val="2"/>
      </rPr>
      <t>о</t>
    </r>
    <r>
      <rPr>
        <sz val="12"/>
        <rFont val="Arial Cyr"/>
        <family val="2"/>
      </rPr>
      <t>С, t</t>
    </r>
    <r>
      <rPr>
        <vertAlign val="subscript"/>
        <sz val="12"/>
        <rFont val="Arial Cyr"/>
        <family val="0"/>
      </rPr>
      <t xml:space="preserve"> в</t>
    </r>
    <r>
      <rPr>
        <vertAlign val="superscript"/>
        <sz val="12"/>
        <rFont val="Arial Cyr"/>
        <family val="2"/>
      </rPr>
      <t>норма</t>
    </r>
    <r>
      <rPr>
        <sz val="12"/>
        <rFont val="Arial Cyr"/>
        <family val="2"/>
      </rPr>
      <t xml:space="preserve"> = + 21</t>
    </r>
    <r>
      <rPr>
        <vertAlign val="superscript"/>
        <sz val="12"/>
        <rFont val="Arial Cyr"/>
        <family val="2"/>
      </rPr>
      <t>о</t>
    </r>
    <r>
      <rPr>
        <sz val="12"/>
        <rFont val="Arial Cyr"/>
        <family val="2"/>
      </rPr>
      <t xml:space="preserve">С </t>
    </r>
  </si>
  <si>
    <r>
      <t xml:space="preserve">за отопительный  период </t>
    </r>
    <r>
      <rPr>
        <sz val="10"/>
        <rFont val="Arial Cyr"/>
        <family val="0"/>
      </rPr>
      <t>2021-2022 года  по ГКП Кокшетау Жылу"</t>
    </r>
  </si>
  <si>
    <t>сентябрь  2021 г</t>
  </si>
  <si>
    <t>октябрь 2021 г</t>
  </si>
  <si>
    <t>ноябрь 2021 г</t>
  </si>
  <si>
    <t xml:space="preserve">декабрь 2021 г. </t>
  </si>
  <si>
    <t xml:space="preserve">январь 2022  г. </t>
  </si>
  <si>
    <t xml:space="preserve">февраль 2022  г. </t>
  </si>
  <si>
    <t>март 2022 г.</t>
  </si>
  <si>
    <t xml:space="preserve">апрель  2022 г. </t>
  </si>
  <si>
    <t xml:space="preserve">май  2022  г. </t>
  </si>
  <si>
    <t>за отопительный период 2021 / 2022 года</t>
  </si>
  <si>
    <t>Р. А. Макишев</t>
  </si>
  <si>
    <t>Генеральный   директор</t>
  </si>
</sst>
</file>

<file path=xl/styles.xml><?xml version="1.0" encoding="utf-8"?>
<styleSheet xmlns="http://schemas.openxmlformats.org/spreadsheetml/2006/main">
  <numFmts count="7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"/>
    <numFmt numFmtId="175" formatCode="0.000000"/>
    <numFmt numFmtId="176" formatCode="0.0000"/>
    <numFmt numFmtId="177" formatCode="0.000"/>
    <numFmt numFmtId="178" formatCode="0.0"/>
    <numFmt numFmtId="179" formatCode="0.00000"/>
    <numFmt numFmtId="180" formatCode="#,##0&quot;т&quot;;\-#,##0&quot;т&quot;"/>
    <numFmt numFmtId="181" formatCode="#,##0&quot;т&quot;;[Red]\-#,##0&quot;т&quot;"/>
    <numFmt numFmtId="182" formatCode="#,##0.00&quot;т&quot;;\-#,##0.00&quot;т&quot;"/>
    <numFmt numFmtId="183" formatCode="#,##0.00&quot;т&quot;;[Red]\-#,##0.00&quot;т&quot;"/>
    <numFmt numFmtId="184" formatCode="_-* #,##0&quot;т&quot;_-;\-* #,##0&quot;т&quot;_-;_-* &quot;-&quot;&quot;т&quot;_-;_-@_-"/>
    <numFmt numFmtId="185" formatCode="_-* #,##0_т_-;\-* #,##0_т_-;_-* &quot;-&quot;_т_-;_-@_-"/>
    <numFmt numFmtId="186" formatCode="_-* #,##0.00&quot;т&quot;_-;\-* #,##0.00&quot;т&quot;_-;_-* &quot;-&quot;??&quot;т&quot;_-;_-@_-"/>
    <numFmt numFmtId="187" formatCode="_-* #,##0.00_т_-;\-* #,##0.00_т_-;_-* &quot;-&quot;??_т_-;_-@_-"/>
    <numFmt numFmtId="188" formatCode="#,##0&quot;р.&quot;_);\(#,##0&quot;р.&quot;\)"/>
    <numFmt numFmtId="189" formatCode="#,##0&quot;р.&quot;_);[Red]\(#,##0&quot;р.&quot;\)"/>
    <numFmt numFmtId="190" formatCode="#,##0.00&quot;р.&quot;_);\(#,##0.00&quot;р.&quot;\)"/>
    <numFmt numFmtId="191" formatCode="#,##0.00&quot;р.&quot;_);[Red]\(#,##0.00&quot;р.&quot;\)"/>
    <numFmt numFmtId="192" formatCode="_ * #,##0_)&quot;р.&quot;_ ;_ * \(#,##0\)&quot;р.&quot;_ ;_ * &quot;-&quot;_)&quot;р.&quot;_ ;_ @_ "/>
    <numFmt numFmtId="193" formatCode="_ * #,##0_)_р_._ ;_ * \(#,##0\)_р_._ ;_ * &quot;-&quot;_)_р_._ ;_ @_ "/>
    <numFmt numFmtId="194" formatCode="_ * #,##0.00_)&quot;р.&quot;_ ;_ * \(#,##0.00\)&quot;р.&quot;_ ;_ * &quot;-&quot;??_)&quot;р.&quot;_ ;_ @_ "/>
    <numFmt numFmtId="195" formatCode="_ * #,##0.00_)_р_._ ;_ * \(#,##0.00\)_р_._ ;_ * &quot;-&quot;??_)_р_._ ;_ @_ "/>
    <numFmt numFmtId="196" formatCode="#,##0.0"/>
    <numFmt numFmtId="197" formatCode="#,##0.000"/>
    <numFmt numFmtId="198" formatCode="#,##0.0000"/>
    <numFmt numFmtId="199" formatCode="0.00000000"/>
    <numFmt numFmtId="200" formatCode="0.000000000"/>
    <numFmt numFmtId="201" formatCode="0.0000000000"/>
    <numFmt numFmtId="202" formatCode="0.000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_ ;\-#,##0\ "/>
    <numFmt numFmtId="207" formatCode="#,##0.0_ ;\-#,##0.0\ "/>
    <numFmt numFmtId="208" formatCode="#,##0.00_ ;\-#,##0.00\ "/>
    <numFmt numFmtId="209" formatCode="#,##0.00000"/>
    <numFmt numFmtId="210" formatCode="#,##0.000000"/>
    <numFmt numFmtId="211" formatCode="[$€-2]\ ###,000_);[Red]\([$€-2]\ ###,000\)"/>
    <numFmt numFmtId="212" formatCode="0.000000E+00"/>
    <numFmt numFmtId="213" formatCode="0.0000000E+00"/>
    <numFmt numFmtId="214" formatCode="0.00000E+00"/>
    <numFmt numFmtId="215" formatCode="0.0000E+00"/>
    <numFmt numFmtId="216" formatCode="0.000E+00"/>
    <numFmt numFmtId="217" formatCode="0.0E+00"/>
    <numFmt numFmtId="218" formatCode="0E+00"/>
    <numFmt numFmtId="219" formatCode="0.0%"/>
    <numFmt numFmtId="220" formatCode="0.000%"/>
    <numFmt numFmtId="221" formatCode="_-* #,##0.000&quot;р.&quot;_-;\-* #,##0.000&quot;р.&quot;_-;_-* &quot;-&quot;???&quot;р.&quot;_-;_-@_-"/>
    <numFmt numFmtId="222" formatCode="_-* #,##0.00&quot;р.&quot;_-;\-* #,##0.00&quot;р.&quot;_-;_-* &quot;-&quot;???&quot;р.&quot;_-;_-@_-"/>
    <numFmt numFmtId="223" formatCode="_-* #,##0.0&quot;р.&quot;_-;\-* #,##0.0&quot;р.&quot;_-;_-* &quot;-&quot;???&quot;р.&quot;_-;_-@_-"/>
    <numFmt numFmtId="224" formatCode="_-* #,##0.000_р_._-;\-* #,##0.000_р_._-;_-* &quot;-&quot;???_р_._-;_-@_-"/>
    <numFmt numFmtId="225" formatCode="_-* #,##0.00_р_._-;\-* #,##0.00_р_._-;_-* &quot;-&quot;???_р_._-;_-@_-"/>
  </numFmts>
  <fonts count="59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2"/>
    </font>
    <font>
      <vertAlign val="superscript"/>
      <sz val="11"/>
      <name val="Arial Cyr"/>
      <family val="0"/>
    </font>
    <font>
      <sz val="12"/>
      <name val="Arial Cyr"/>
      <family val="0"/>
    </font>
    <font>
      <vertAlign val="superscript"/>
      <sz val="12"/>
      <name val="Arial Cyr"/>
      <family val="0"/>
    </font>
    <font>
      <vertAlign val="subscript"/>
      <sz val="12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b/>
      <vertAlign val="superscript"/>
      <sz val="12"/>
      <name val="Arial Cyr"/>
      <family val="2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bscript"/>
      <sz val="12"/>
      <name val="Arial Cyr"/>
      <family val="2"/>
    </font>
    <font>
      <sz val="14"/>
      <name val="Arial Cyr"/>
      <family val="2"/>
    </font>
    <font>
      <sz val="10"/>
      <color indexed="9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0" fontId="47" fillId="25" borderId="1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6" borderId="7" applyNumberFormat="0" applyAlignment="0" applyProtection="0"/>
    <xf numFmtId="0" fontId="33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0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179" fontId="5" fillId="0" borderId="11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8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8" fontId="8" fillId="0" borderId="1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7" fontId="5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78" fontId="5" fillId="0" borderId="1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177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0" fillId="0" borderId="15" xfId="0" applyNumberForma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8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/>
    </xf>
    <xf numFmtId="0" fontId="8" fillId="0" borderId="19" xfId="0" applyFont="1" applyBorder="1" applyAlignment="1">
      <alignment/>
    </xf>
    <xf numFmtId="1" fontId="8" fillId="0" borderId="18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2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5" fontId="0" fillId="0" borderId="10" xfId="0" applyNumberFormat="1" applyBorder="1" applyAlignment="1">
      <alignment/>
    </xf>
    <xf numFmtId="173" fontId="0" fillId="0" borderId="10" xfId="60" applyFont="1" applyBorder="1" applyAlignment="1">
      <alignment/>
    </xf>
    <xf numFmtId="173" fontId="0" fillId="0" borderId="10" xfId="60" applyFont="1" applyFill="1" applyBorder="1" applyAlignment="1">
      <alignment/>
    </xf>
    <xf numFmtId="173" fontId="3" fillId="0" borderId="10" xfId="0" applyNumberFormat="1" applyFont="1" applyBorder="1" applyAlignment="1">
      <alignment/>
    </xf>
    <xf numFmtId="173" fontId="0" fillId="0" borderId="0" xfId="0" applyNumberFormat="1" applyAlignment="1">
      <alignment/>
    </xf>
    <xf numFmtId="179" fontId="0" fillId="0" borderId="10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4" fontId="3" fillId="0" borderId="0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 wrapText="1"/>
    </xf>
    <xf numFmtId="179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31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4" fontId="0" fillId="31" borderId="10" xfId="0" applyNumberFormat="1" applyFill="1" applyBorder="1" applyAlignment="1">
      <alignment horizontal="center"/>
    </xf>
    <xf numFmtId="0" fontId="0" fillId="31" borderId="10" xfId="0" applyFont="1" applyFill="1" applyBorder="1" applyAlignment="1">
      <alignment/>
    </xf>
    <xf numFmtId="0" fontId="0" fillId="31" borderId="10" xfId="0" applyFill="1" applyBorder="1" applyAlignment="1">
      <alignment/>
    </xf>
    <xf numFmtId="0" fontId="20" fillId="31" borderId="10" xfId="0" applyFont="1" applyFill="1" applyBorder="1" applyAlignment="1">
      <alignment horizontal="left"/>
    </xf>
    <xf numFmtId="179" fontId="0" fillId="31" borderId="10" xfId="0" applyNumberFormat="1" applyFill="1" applyBorder="1" applyAlignment="1">
      <alignment horizontal="center"/>
    </xf>
    <xf numFmtId="179" fontId="0" fillId="31" borderId="17" xfId="0" applyNumberFormat="1" applyFill="1" applyBorder="1" applyAlignment="1">
      <alignment horizontal="center"/>
    </xf>
    <xf numFmtId="173" fontId="0" fillId="31" borderId="10" xfId="60" applyFont="1" applyFill="1" applyBorder="1" applyAlignment="1">
      <alignment/>
    </xf>
    <xf numFmtId="175" fontId="8" fillId="0" borderId="0" xfId="0" applyNumberFormat="1" applyFont="1" applyBorder="1" applyAlignment="1">
      <alignment/>
    </xf>
    <xf numFmtId="179" fontId="5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178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5" fontId="3" fillId="0" borderId="11" xfId="0" applyNumberFormat="1" applyFont="1" applyBorder="1" applyAlignment="1">
      <alignment/>
    </xf>
    <xf numFmtId="178" fontId="0" fillId="31" borderId="10" xfId="0" applyNumberFormat="1" applyFont="1" applyFill="1" applyBorder="1" applyAlignment="1">
      <alignment/>
    </xf>
    <xf numFmtId="2" fontId="0" fillId="31" borderId="10" xfId="0" applyNumberFormat="1" applyFont="1" applyFill="1" applyBorder="1" applyAlignment="1">
      <alignment/>
    </xf>
    <xf numFmtId="179" fontId="0" fillId="31" borderId="10" xfId="0" applyNumberFormat="1" applyFont="1" applyFill="1" applyBorder="1" applyAlignment="1">
      <alignment/>
    </xf>
    <xf numFmtId="178" fontId="0" fillId="31" borderId="10" xfId="0" applyNumberFormat="1" applyFill="1" applyBorder="1" applyAlignment="1">
      <alignment/>
    </xf>
    <xf numFmtId="2" fontId="0" fillId="31" borderId="10" xfId="0" applyNumberFormat="1" applyFill="1" applyBorder="1" applyAlignment="1">
      <alignment/>
    </xf>
    <xf numFmtId="0" fontId="57" fillId="31" borderId="10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1" fillId="31" borderId="1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177" fontId="0" fillId="0" borderId="10" xfId="0" applyNumberFormat="1" applyBorder="1" applyAlignment="1">
      <alignment horizontal="center"/>
    </xf>
    <xf numFmtId="0" fontId="0" fillId="31" borderId="0" xfId="0" applyFill="1" applyBorder="1" applyAlignment="1">
      <alignment/>
    </xf>
    <xf numFmtId="177" fontId="0" fillId="31" borderId="0" xfId="0" applyNumberFormat="1" applyFill="1" applyBorder="1" applyAlignment="1">
      <alignment/>
    </xf>
    <xf numFmtId="176" fontId="0" fillId="31" borderId="0" xfId="0" applyNumberFormat="1" applyFill="1" applyBorder="1" applyAlignment="1">
      <alignment/>
    </xf>
    <xf numFmtId="179" fontId="3" fillId="0" borderId="0" xfId="0" applyNumberFormat="1" applyFont="1" applyBorder="1" applyAlignment="1">
      <alignment horizontal="center" wrapText="1"/>
    </xf>
    <xf numFmtId="179" fontId="0" fillId="31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1" borderId="15" xfId="0" applyFont="1" applyFill="1" applyBorder="1" applyAlignment="1">
      <alignment/>
    </xf>
    <xf numFmtId="177" fontId="3" fillId="0" borderId="10" xfId="0" applyNumberFormat="1" applyFont="1" applyBorder="1" applyAlignment="1">
      <alignment/>
    </xf>
    <xf numFmtId="175" fontId="3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1" borderId="0" xfId="0" applyFill="1" applyBorder="1" applyAlignment="1">
      <alignment horizontal="center"/>
    </xf>
    <xf numFmtId="17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32" borderId="0" xfId="0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75" fontId="5" fillId="0" borderId="0" xfId="0" applyNumberFormat="1" applyFont="1" applyBorder="1" applyAlignment="1">
      <alignment/>
    </xf>
    <xf numFmtId="176" fontId="0" fillId="31" borderId="10" xfId="0" applyNumberFormat="1" applyFont="1" applyFill="1" applyBorder="1" applyAlignment="1">
      <alignment/>
    </xf>
    <xf numFmtId="2" fontId="0" fillId="31" borderId="11" xfId="0" applyNumberFormat="1" applyFont="1" applyFill="1" applyBorder="1" applyAlignment="1">
      <alignment/>
    </xf>
    <xf numFmtId="2" fontId="0" fillId="31" borderId="13" xfId="0" applyNumberFormat="1" applyFont="1" applyFill="1" applyBorder="1" applyAlignment="1">
      <alignment/>
    </xf>
    <xf numFmtId="176" fontId="0" fillId="31" borderId="10" xfId="0" applyNumberFormat="1" applyFill="1" applyBorder="1" applyAlignment="1">
      <alignment/>
    </xf>
    <xf numFmtId="1" fontId="0" fillId="31" borderId="10" xfId="0" applyNumberFormat="1" applyFont="1" applyFill="1" applyBorder="1" applyAlignment="1">
      <alignment/>
    </xf>
    <xf numFmtId="2" fontId="0" fillId="31" borderId="13" xfId="0" applyNumberFormat="1" applyFill="1" applyBorder="1" applyAlignment="1">
      <alignment/>
    </xf>
    <xf numFmtId="0" fontId="0" fillId="31" borderId="11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178" fontId="58" fillId="34" borderId="10" xfId="0" applyNumberFormat="1" applyFont="1" applyFill="1" applyBorder="1" applyAlignment="1">
      <alignment horizontal="center" vertical="center" wrapText="1"/>
    </xf>
    <xf numFmtId="2" fontId="0" fillId="32" borderId="13" xfId="0" applyNumberFormat="1" applyFont="1" applyFill="1" applyBorder="1" applyAlignment="1">
      <alignment/>
    </xf>
    <xf numFmtId="0" fontId="0" fillId="31" borderId="10" xfId="0" applyFont="1" applyFill="1" applyBorder="1" applyAlignment="1">
      <alignment horizontal="left"/>
    </xf>
    <xf numFmtId="0" fontId="0" fillId="31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7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6</xdr:row>
      <xdr:rowOff>171450</xdr:rowOff>
    </xdr:from>
    <xdr:to>
      <xdr:col>37</xdr:col>
      <xdr:colOff>0</xdr:colOff>
      <xdr:row>6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25593675" y="1143000"/>
          <a:ext cx="0" cy="5715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161925</xdr:rowOff>
    </xdr:from>
    <xdr:to>
      <xdr:col>37</xdr:col>
      <xdr:colOff>0</xdr:colOff>
      <xdr:row>6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25593675" y="1133475"/>
          <a:ext cx="0" cy="85725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180975</xdr:rowOff>
    </xdr:from>
    <xdr:to>
      <xdr:col>33</xdr:col>
      <xdr:colOff>0</xdr:colOff>
      <xdr:row>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22850475" y="1152525"/>
          <a:ext cx="0" cy="85725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47625</xdr:colOff>
      <xdr:row>8</xdr:row>
      <xdr:rowOff>0</xdr:rowOff>
    </xdr:from>
    <xdr:to>
      <xdr:col>15</xdr:col>
      <xdr:colOff>133350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5845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0</xdr:rowOff>
    </xdr:from>
    <xdr:to>
      <xdr:col>17</xdr:col>
      <xdr:colOff>104775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18967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0</xdr:rowOff>
    </xdr:from>
    <xdr:to>
      <xdr:col>18</xdr:col>
      <xdr:colOff>104775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2582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8</xdr:row>
      <xdr:rowOff>0</xdr:rowOff>
    </xdr:from>
    <xdr:to>
      <xdr:col>21</xdr:col>
      <xdr:colOff>133350</xdr:colOff>
      <xdr:row>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6685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0</xdr:rowOff>
    </xdr:from>
    <xdr:to>
      <xdr:col>23</xdr:col>
      <xdr:colOff>104775</xdr:colOff>
      <xdr:row>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6011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47625</xdr:colOff>
      <xdr:row>8</xdr:row>
      <xdr:rowOff>0</xdr:rowOff>
    </xdr:from>
    <xdr:to>
      <xdr:col>27</xdr:col>
      <xdr:colOff>133350</xdr:colOff>
      <xdr:row>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87833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0</xdr:rowOff>
    </xdr:from>
    <xdr:to>
      <xdr:col>29</xdr:col>
      <xdr:colOff>104775</xdr:colOff>
      <xdr:row>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1263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47625</xdr:colOff>
      <xdr:row>8</xdr:row>
      <xdr:rowOff>0</xdr:rowOff>
    </xdr:from>
    <xdr:to>
      <xdr:col>33</xdr:col>
      <xdr:colOff>133350</xdr:colOff>
      <xdr:row>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28981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0</xdr:rowOff>
    </xdr:from>
    <xdr:to>
      <xdr:col>35</xdr:col>
      <xdr:colOff>104775</xdr:colOff>
      <xdr:row>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42411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47625</xdr:colOff>
      <xdr:row>8</xdr:row>
      <xdr:rowOff>0</xdr:rowOff>
    </xdr:from>
    <xdr:to>
      <xdr:col>39</xdr:col>
      <xdr:colOff>133350</xdr:colOff>
      <xdr:row>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70129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0</xdr:rowOff>
    </xdr:from>
    <xdr:to>
      <xdr:col>41</xdr:col>
      <xdr:colOff>104775</xdr:colOff>
      <xdr:row>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83559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47625</xdr:colOff>
      <xdr:row>8</xdr:row>
      <xdr:rowOff>0</xdr:rowOff>
    </xdr:from>
    <xdr:to>
      <xdr:col>45</xdr:col>
      <xdr:colOff>133350</xdr:colOff>
      <xdr:row>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11277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0</xdr:rowOff>
    </xdr:from>
    <xdr:to>
      <xdr:col>47</xdr:col>
      <xdr:colOff>104775</xdr:colOff>
      <xdr:row>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324707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47625</xdr:colOff>
      <xdr:row>8</xdr:row>
      <xdr:rowOff>0</xdr:rowOff>
    </xdr:from>
    <xdr:to>
      <xdr:col>15</xdr:col>
      <xdr:colOff>133350</xdr:colOff>
      <xdr:row>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045845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0</xdr:rowOff>
    </xdr:from>
    <xdr:to>
      <xdr:col>17</xdr:col>
      <xdr:colOff>104775</xdr:colOff>
      <xdr:row>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18967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0</xdr:rowOff>
    </xdr:from>
    <xdr:to>
      <xdr:col>18</xdr:col>
      <xdr:colOff>104775</xdr:colOff>
      <xdr:row>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2582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8</xdr:row>
      <xdr:rowOff>0</xdr:rowOff>
    </xdr:from>
    <xdr:to>
      <xdr:col>21</xdr:col>
      <xdr:colOff>133350</xdr:colOff>
      <xdr:row>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46685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0</xdr:rowOff>
    </xdr:from>
    <xdr:to>
      <xdr:col>23</xdr:col>
      <xdr:colOff>104775</xdr:colOff>
      <xdr:row>8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6011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47625</xdr:colOff>
      <xdr:row>8</xdr:row>
      <xdr:rowOff>0</xdr:rowOff>
    </xdr:from>
    <xdr:to>
      <xdr:col>27</xdr:col>
      <xdr:colOff>133350</xdr:colOff>
      <xdr:row>8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87833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0</xdr:rowOff>
    </xdr:from>
    <xdr:to>
      <xdr:col>29</xdr:col>
      <xdr:colOff>104775</xdr:colOff>
      <xdr:row>8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01263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47625</xdr:colOff>
      <xdr:row>8</xdr:row>
      <xdr:rowOff>0</xdr:rowOff>
    </xdr:from>
    <xdr:to>
      <xdr:col>33</xdr:col>
      <xdr:colOff>133350</xdr:colOff>
      <xdr:row>8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28981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0</xdr:rowOff>
    </xdr:from>
    <xdr:to>
      <xdr:col>35</xdr:col>
      <xdr:colOff>104775</xdr:colOff>
      <xdr:row>8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42411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47625</xdr:colOff>
      <xdr:row>8</xdr:row>
      <xdr:rowOff>0</xdr:rowOff>
    </xdr:from>
    <xdr:to>
      <xdr:col>39</xdr:col>
      <xdr:colOff>133350</xdr:colOff>
      <xdr:row>8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70129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0</xdr:rowOff>
    </xdr:from>
    <xdr:to>
      <xdr:col>41</xdr:col>
      <xdr:colOff>104775</xdr:colOff>
      <xdr:row>8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83559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47625</xdr:colOff>
      <xdr:row>8</xdr:row>
      <xdr:rowOff>0</xdr:rowOff>
    </xdr:from>
    <xdr:to>
      <xdr:col>45</xdr:col>
      <xdr:colOff>133350</xdr:colOff>
      <xdr:row>8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311277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0</xdr:rowOff>
    </xdr:from>
    <xdr:to>
      <xdr:col>47</xdr:col>
      <xdr:colOff>104775</xdr:colOff>
      <xdr:row>8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324707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47625</xdr:colOff>
      <xdr:row>8</xdr:row>
      <xdr:rowOff>0</xdr:rowOff>
    </xdr:from>
    <xdr:to>
      <xdr:col>15</xdr:col>
      <xdr:colOff>133350</xdr:colOff>
      <xdr:row>8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045845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19050</xdr:colOff>
      <xdr:row>8</xdr:row>
      <xdr:rowOff>0</xdr:rowOff>
    </xdr:from>
    <xdr:to>
      <xdr:col>17</xdr:col>
      <xdr:colOff>104775</xdr:colOff>
      <xdr:row>8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18967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19050</xdr:colOff>
      <xdr:row>8</xdr:row>
      <xdr:rowOff>0</xdr:rowOff>
    </xdr:from>
    <xdr:to>
      <xdr:col>18</xdr:col>
      <xdr:colOff>104775</xdr:colOff>
      <xdr:row>8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2582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47625</xdr:colOff>
      <xdr:row>8</xdr:row>
      <xdr:rowOff>0</xdr:rowOff>
    </xdr:from>
    <xdr:to>
      <xdr:col>21</xdr:col>
      <xdr:colOff>133350</xdr:colOff>
      <xdr:row>8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6685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19050</xdr:colOff>
      <xdr:row>8</xdr:row>
      <xdr:rowOff>0</xdr:rowOff>
    </xdr:from>
    <xdr:to>
      <xdr:col>23</xdr:col>
      <xdr:colOff>104775</xdr:colOff>
      <xdr:row>8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6011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47625</xdr:colOff>
      <xdr:row>8</xdr:row>
      <xdr:rowOff>0</xdr:rowOff>
    </xdr:from>
    <xdr:to>
      <xdr:col>27</xdr:col>
      <xdr:colOff>133350</xdr:colOff>
      <xdr:row>8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87833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19050</xdr:colOff>
      <xdr:row>8</xdr:row>
      <xdr:rowOff>0</xdr:rowOff>
    </xdr:from>
    <xdr:to>
      <xdr:col>29</xdr:col>
      <xdr:colOff>104775</xdr:colOff>
      <xdr:row>8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01263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33</xdr:col>
      <xdr:colOff>47625</xdr:colOff>
      <xdr:row>8</xdr:row>
      <xdr:rowOff>0</xdr:rowOff>
    </xdr:from>
    <xdr:to>
      <xdr:col>33</xdr:col>
      <xdr:colOff>133350</xdr:colOff>
      <xdr:row>8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28981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19050</xdr:colOff>
      <xdr:row>8</xdr:row>
      <xdr:rowOff>0</xdr:rowOff>
    </xdr:from>
    <xdr:to>
      <xdr:col>35</xdr:col>
      <xdr:colOff>104775</xdr:colOff>
      <xdr:row>8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42411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47625</xdr:colOff>
      <xdr:row>8</xdr:row>
      <xdr:rowOff>0</xdr:rowOff>
    </xdr:from>
    <xdr:to>
      <xdr:col>39</xdr:col>
      <xdr:colOff>133350</xdr:colOff>
      <xdr:row>8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70129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19050</xdr:colOff>
      <xdr:row>8</xdr:row>
      <xdr:rowOff>0</xdr:rowOff>
    </xdr:from>
    <xdr:to>
      <xdr:col>41</xdr:col>
      <xdr:colOff>104775</xdr:colOff>
      <xdr:row>8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83559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47625</xdr:colOff>
      <xdr:row>8</xdr:row>
      <xdr:rowOff>0</xdr:rowOff>
    </xdr:from>
    <xdr:to>
      <xdr:col>45</xdr:col>
      <xdr:colOff>133350</xdr:colOff>
      <xdr:row>8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311277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19050</xdr:colOff>
      <xdr:row>8</xdr:row>
      <xdr:rowOff>0</xdr:rowOff>
    </xdr:from>
    <xdr:to>
      <xdr:col>47</xdr:col>
      <xdr:colOff>104775</xdr:colOff>
      <xdr:row>8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324707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47625</xdr:colOff>
      <xdr:row>8</xdr:row>
      <xdr:rowOff>0</xdr:rowOff>
    </xdr:from>
    <xdr:to>
      <xdr:col>51</xdr:col>
      <xdr:colOff>133350</xdr:colOff>
      <xdr:row>8</xdr:row>
      <xdr:rowOff>0</xdr:rowOff>
    </xdr:to>
    <xdr:sp>
      <xdr:nvSpPr>
        <xdr:cNvPr id="43" name="AutoShape 15"/>
        <xdr:cNvSpPr>
          <a:spLocks/>
        </xdr:cNvSpPr>
      </xdr:nvSpPr>
      <xdr:spPr>
        <a:xfrm>
          <a:off x="352425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0</xdr:rowOff>
    </xdr:from>
    <xdr:to>
      <xdr:col>53</xdr:col>
      <xdr:colOff>104775</xdr:colOff>
      <xdr:row>8</xdr:row>
      <xdr:rowOff>0</xdr:rowOff>
    </xdr:to>
    <xdr:sp>
      <xdr:nvSpPr>
        <xdr:cNvPr id="44" name="AutoShape 16"/>
        <xdr:cNvSpPr>
          <a:spLocks/>
        </xdr:cNvSpPr>
      </xdr:nvSpPr>
      <xdr:spPr>
        <a:xfrm>
          <a:off x="36585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47625</xdr:colOff>
      <xdr:row>8</xdr:row>
      <xdr:rowOff>0</xdr:rowOff>
    </xdr:from>
    <xdr:to>
      <xdr:col>51</xdr:col>
      <xdr:colOff>133350</xdr:colOff>
      <xdr:row>8</xdr:row>
      <xdr:rowOff>0</xdr:rowOff>
    </xdr:to>
    <xdr:sp>
      <xdr:nvSpPr>
        <xdr:cNvPr id="45" name="AutoShape 28"/>
        <xdr:cNvSpPr>
          <a:spLocks/>
        </xdr:cNvSpPr>
      </xdr:nvSpPr>
      <xdr:spPr>
        <a:xfrm>
          <a:off x="352425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0</xdr:rowOff>
    </xdr:from>
    <xdr:to>
      <xdr:col>53</xdr:col>
      <xdr:colOff>104775</xdr:colOff>
      <xdr:row>8</xdr:row>
      <xdr:rowOff>0</xdr:rowOff>
    </xdr:to>
    <xdr:sp>
      <xdr:nvSpPr>
        <xdr:cNvPr id="46" name="AutoShape 29"/>
        <xdr:cNvSpPr>
          <a:spLocks/>
        </xdr:cNvSpPr>
      </xdr:nvSpPr>
      <xdr:spPr>
        <a:xfrm>
          <a:off x="36585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51</xdr:col>
      <xdr:colOff>47625</xdr:colOff>
      <xdr:row>8</xdr:row>
      <xdr:rowOff>0</xdr:rowOff>
    </xdr:from>
    <xdr:to>
      <xdr:col>51</xdr:col>
      <xdr:colOff>133350</xdr:colOff>
      <xdr:row>8</xdr:row>
      <xdr:rowOff>0</xdr:rowOff>
    </xdr:to>
    <xdr:sp>
      <xdr:nvSpPr>
        <xdr:cNvPr id="47" name="AutoShape 41"/>
        <xdr:cNvSpPr>
          <a:spLocks/>
        </xdr:cNvSpPr>
      </xdr:nvSpPr>
      <xdr:spPr>
        <a:xfrm>
          <a:off x="35242500" y="1495425"/>
          <a:ext cx="85725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53</xdr:col>
      <xdr:colOff>19050</xdr:colOff>
      <xdr:row>8</xdr:row>
      <xdr:rowOff>0</xdr:rowOff>
    </xdr:from>
    <xdr:to>
      <xdr:col>53</xdr:col>
      <xdr:colOff>104775</xdr:colOff>
      <xdr:row>8</xdr:row>
      <xdr:rowOff>0</xdr:rowOff>
    </xdr:to>
    <xdr:sp>
      <xdr:nvSpPr>
        <xdr:cNvPr id="48" name="AutoShape 42"/>
        <xdr:cNvSpPr>
          <a:spLocks/>
        </xdr:cNvSpPr>
      </xdr:nvSpPr>
      <xdr:spPr>
        <a:xfrm>
          <a:off x="36585525" y="1495425"/>
          <a:ext cx="85725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029700" y="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297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675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667500" y="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6675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6675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9029700" y="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90297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6675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667500" y="0"/>
          <a:ext cx="0" cy="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6675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667500" y="0"/>
          <a:ext cx="0" cy="0"/>
        </a:xfrm>
        <a:prstGeom prst="triangle">
          <a:avLst>
            <a:gd name="adj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workbookViewId="0" topLeftCell="A1">
      <selection activeCell="E21" sqref="E21"/>
    </sheetView>
  </sheetViews>
  <sheetFormatPr defaultColWidth="9.00390625" defaultRowHeight="12.75"/>
  <cols>
    <col min="1" max="1" width="13.875" style="0" customWidth="1"/>
    <col min="2" max="2" width="11.75390625" style="0" customWidth="1"/>
    <col min="3" max="3" width="12.00390625" style="0" customWidth="1"/>
    <col min="4" max="4" width="11.875" style="0" customWidth="1"/>
    <col min="5" max="5" width="12.125" style="0" customWidth="1"/>
    <col min="6" max="6" width="10.25390625" style="0" customWidth="1"/>
    <col min="7" max="7" width="14.25390625" style="0" customWidth="1"/>
    <col min="8" max="8" width="15.25390625" style="0" customWidth="1"/>
    <col min="9" max="9" width="16.625" style="0" customWidth="1"/>
    <col min="10" max="10" width="13.625" style="0" customWidth="1"/>
    <col min="11" max="11" width="10.625" style="0" bestFit="1" customWidth="1"/>
  </cols>
  <sheetData>
    <row r="1" ht="12.75">
      <c r="G1" s="74" t="s">
        <v>13</v>
      </c>
    </row>
    <row r="2" ht="12.75">
      <c r="A2" t="s">
        <v>58</v>
      </c>
    </row>
    <row r="3" ht="12.75">
      <c r="A3" t="s">
        <v>74</v>
      </c>
    </row>
    <row r="4" ht="12.75">
      <c r="A4" t="s">
        <v>59</v>
      </c>
    </row>
    <row r="5" ht="12.75">
      <c r="C5" s="33"/>
    </row>
    <row r="6" spans="1:11" ht="83.25" customHeight="1">
      <c r="A6" s="28" t="s">
        <v>54</v>
      </c>
      <c r="B6" s="29" t="s">
        <v>34</v>
      </c>
      <c r="C6" s="29" t="s">
        <v>35</v>
      </c>
      <c r="D6" s="29" t="s">
        <v>14</v>
      </c>
      <c r="E6" s="29" t="s">
        <v>15</v>
      </c>
      <c r="F6" s="92" t="s">
        <v>16</v>
      </c>
      <c r="G6" s="164" t="s">
        <v>60</v>
      </c>
      <c r="H6" s="165" t="s">
        <v>53</v>
      </c>
      <c r="I6" s="164" t="s">
        <v>61</v>
      </c>
      <c r="J6" s="2"/>
      <c r="K6" s="2"/>
    </row>
    <row r="7" spans="1:9" s="1" customFormat="1" ht="14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93">
        <v>6</v>
      </c>
      <c r="G7" s="113"/>
      <c r="H7" s="18"/>
      <c r="I7" s="18"/>
    </row>
    <row r="8" spans="1:9" ht="14.25">
      <c r="A8" s="31">
        <v>2019</v>
      </c>
      <c r="B8" s="18"/>
      <c r="C8" s="18"/>
      <c r="D8" s="18"/>
      <c r="E8" s="18"/>
      <c r="F8" s="94"/>
      <c r="G8" s="112"/>
      <c r="H8" s="20"/>
      <c r="I8" s="115"/>
    </row>
    <row r="9" spans="1:9" ht="12.75">
      <c r="A9" s="141" t="s">
        <v>48</v>
      </c>
      <c r="B9" s="142">
        <f>'Норма, пр 2'!E11</f>
        <v>0.004725278398825232</v>
      </c>
      <c r="C9" s="142">
        <f>'Пр 1 10-11 '!K46</f>
        <v>0.005907554173512489</v>
      </c>
      <c r="D9" s="142">
        <f>B9-C9</f>
        <v>-0.001182275774687257</v>
      </c>
      <c r="E9" s="176">
        <v>1711.8920559563178</v>
      </c>
      <c r="F9" s="143">
        <f>D9*E9</f>
        <v>-2.0239285066367168</v>
      </c>
      <c r="G9" s="163">
        <f>F9*1.12</f>
        <v>-2.266799927433123</v>
      </c>
      <c r="H9" s="138">
        <v>317744.78</v>
      </c>
      <c r="I9" s="144">
        <f>G9*H9</f>
        <v>-720263.8442462537</v>
      </c>
    </row>
    <row r="10" spans="1:9" ht="12.75">
      <c r="A10" s="140" t="s">
        <v>5</v>
      </c>
      <c r="B10" s="142">
        <f>'Норма, пр 2'!E12</f>
        <v>0.020916486354610953</v>
      </c>
      <c r="C10" s="142">
        <f>'Пр 1 10-11 '!K47</f>
        <v>0.020517788726419017</v>
      </c>
      <c r="D10" s="142">
        <f>B10-C10</f>
        <v>0.0003986976281919359</v>
      </c>
      <c r="E10" s="176">
        <v>1711.8920559563178</v>
      </c>
      <c r="F10" s="143">
        <f>D10*E10</f>
        <v>0.6825273024304007</v>
      </c>
      <c r="G10" s="163">
        <f aca="true" t="shared" si="0" ref="G10:G17">F10*1.12</f>
        <v>0.7644305787220489</v>
      </c>
      <c r="H10" s="138">
        <v>470517.15</v>
      </c>
      <c r="I10" s="144">
        <f>G10*H10</f>
        <v>359677.6972731491</v>
      </c>
    </row>
    <row r="11" spans="1:10" ht="12.75">
      <c r="A11" s="140" t="s">
        <v>6</v>
      </c>
      <c r="B11" s="142">
        <f>'Норма, пр 2'!E13</f>
        <v>0.025476355775772397</v>
      </c>
      <c r="C11" s="142">
        <f>'Пр 1 10-11 '!K48</f>
        <v>0.025695439542793463</v>
      </c>
      <c r="D11" s="142">
        <f>B11-C11</f>
        <v>-0.00021908376702106658</v>
      </c>
      <c r="E11" s="176">
        <v>1711.8920559563178</v>
      </c>
      <c r="F11" s="143">
        <f>D11*E11</f>
        <v>-0.3750477603523486</v>
      </c>
      <c r="G11" s="163">
        <f t="shared" si="0"/>
        <v>-0.42005349159463046</v>
      </c>
      <c r="H11" s="138">
        <v>436357.34</v>
      </c>
      <c r="I11" s="144">
        <f>G11*H11</f>
        <v>-183293.42424994532</v>
      </c>
      <c r="J11" s="70"/>
    </row>
    <row r="12" spans="1:10" ht="12.75">
      <c r="A12" s="140" t="s">
        <v>7</v>
      </c>
      <c r="B12" s="142">
        <f>'Норма, пр 2'!E14</f>
        <v>0.03212112170385632</v>
      </c>
      <c r="C12" s="142">
        <f>'Пр 1 10-11 '!K49</f>
        <v>0.028587486523972278</v>
      </c>
      <c r="D12" s="142">
        <f>B12-C12</f>
        <v>0.0035336351798840454</v>
      </c>
      <c r="E12" s="176">
        <v>1711.8920559563178</v>
      </c>
      <c r="F12" s="143">
        <f>D12*E12</f>
        <v>6.0492019930912715</v>
      </c>
      <c r="G12" s="163">
        <f t="shared" si="0"/>
        <v>6.775106232262225</v>
      </c>
      <c r="H12" s="138">
        <v>430063.17</v>
      </c>
      <c r="I12" s="144">
        <f>G12*H12</f>
        <v>2913723.6633334486</v>
      </c>
      <c r="J12" s="70"/>
    </row>
    <row r="13" spans="1:9" ht="12.75">
      <c r="A13" s="31">
        <v>2020</v>
      </c>
      <c r="B13" s="119"/>
      <c r="C13" s="119"/>
      <c r="D13" s="119"/>
      <c r="E13" s="161"/>
      <c r="F13" s="120"/>
      <c r="G13" s="162"/>
      <c r="H13" s="133"/>
      <c r="I13" s="115"/>
    </row>
    <row r="14" spans="1:9" ht="12.75">
      <c r="A14" s="140" t="s">
        <v>1</v>
      </c>
      <c r="B14" s="142">
        <f>'Норма, пр 2'!E6</f>
        <v>0.0352644730632551</v>
      </c>
      <c r="C14" s="142">
        <f>'Пр 1 10-11 '!K51</f>
        <v>0.031272884785067345</v>
      </c>
      <c r="D14" s="142">
        <f>B14-C14</f>
        <v>0.003991588278187755</v>
      </c>
      <c r="E14" s="176">
        <v>1711.8920559563178</v>
      </c>
      <c r="F14" s="143">
        <f>D14*E14</f>
        <v>6.833168264077974</v>
      </c>
      <c r="G14" s="163">
        <f t="shared" si="0"/>
        <v>7.653148455767332</v>
      </c>
      <c r="H14" s="138">
        <v>431561.71</v>
      </c>
      <c r="I14" s="144">
        <f>G14*H14</f>
        <v>3302805.8344548093</v>
      </c>
    </row>
    <row r="15" spans="1:9" ht="12.75">
      <c r="A15" s="140" t="s">
        <v>2</v>
      </c>
      <c r="B15" s="142">
        <f>'Норма, пр 2'!E7</f>
        <v>0.031230716732091143</v>
      </c>
      <c r="C15" s="142">
        <f>'Пр 1 10-11 '!K52</f>
        <v>0.026026645231349836</v>
      </c>
      <c r="D15" s="142">
        <f>B15-C15</f>
        <v>0.005204071500741307</v>
      </c>
      <c r="E15" s="176">
        <v>1711.8920559563178</v>
      </c>
      <c r="F15" s="143">
        <f>D15*E15</f>
        <v>8.908808660747717</v>
      </c>
      <c r="G15" s="163">
        <f t="shared" si="0"/>
        <v>9.977865700037443</v>
      </c>
      <c r="H15" s="138">
        <v>429118.38</v>
      </c>
      <c r="I15" s="144">
        <f>G15*H15</f>
        <v>4281685.565057633</v>
      </c>
    </row>
    <row r="16" spans="1:9" ht="12.75">
      <c r="A16" s="140" t="s">
        <v>3</v>
      </c>
      <c r="B16" s="142">
        <f>'Норма, пр 2'!E8</f>
        <v>0.027504324394739356</v>
      </c>
      <c r="C16" s="142">
        <f>'Пр 1 10-11 '!K53</f>
        <v>0.02847039844474636</v>
      </c>
      <c r="D16" s="142">
        <f>B16-C16</f>
        <v>-0.0009660740500070028</v>
      </c>
      <c r="E16" s="176">
        <v>1711.8920559563178</v>
      </c>
      <c r="F16" s="143">
        <f>D16*E16</f>
        <v>-1.6538144916725346</v>
      </c>
      <c r="G16" s="163">
        <f t="shared" si="0"/>
        <v>-1.8522722306732389</v>
      </c>
      <c r="H16" s="138">
        <v>434025.33</v>
      </c>
      <c r="I16" s="144">
        <f>G16*H16</f>
        <v>-803933.0661677887</v>
      </c>
    </row>
    <row r="17" spans="1:11" ht="12.75">
      <c r="A17" s="18" t="s">
        <v>4</v>
      </c>
      <c r="B17" s="119">
        <f>'Норма, пр 2'!E9</f>
        <v>0.0200341430398605</v>
      </c>
      <c r="C17" s="119">
        <f>'Пр 1 10-11 '!K54</f>
        <v>0.01602243763276844</v>
      </c>
      <c r="D17" s="119">
        <f>B17-C17</f>
        <v>0.004011705407092062</v>
      </c>
      <c r="E17" s="176">
        <v>1711.8920559563178</v>
      </c>
      <c r="F17" s="120">
        <f>D17*E17</f>
        <v>6.867606617237907</v>
      </c>
      <c r="G17" s="162">
        <f t="shared" si="0"/>
        <v>7.691719411306457</v>
      </c>
      <c r="H17" s="138">
        <v>370322.55</v>
      </c>
      <c r="I17" s="116">
        <f>G17*H17</f>
        <v>2848417.146279506</v>
      </c>
      <c r="K17" s="68"/>
    </row>
    <row r="18" spans="1:9" ht="12.75">
      <c r="A18" s="18" t="s">
        <v>55</v>
      </c>
      <c r="B18" s="119">
        <f>'Норма, пр 2'!E10</f>
        <v>0.004075100536988998</v>
      </c>
      <c r="C18" s="119">
        <f>'Пр 1 10-11 '!K55</f>
        <v>0</v>
      </c>
      <c r="D18" s="119">
        <f>B18-C18</f>
        <v>0.004075100536988998</v>
      </c>
      <c r="E18" s="176">
        <v>0</v>
      </c>
      <c r="F18" s="120">
        <f>D18*E18</f>
        <v>0</v>
      </c>
      <c r="G18" s="162">
        <f>F18*1.12</f>
        <v>0</v>
      </c>
      <c r="H18" s="138">
        <v>0</v>
      </c>
      <c r="I18" s="116"/>
    </row>
    <row r="19" spans="1:11" ht="12.75">
      <c r="A19" s="23" t="s">
        <v>8</v>
      </c>
      <c r="B19" s="121">
        <f>SUM(B9:B18)</f>
        <v>0.201348</v>
      </c>
      <c r="C19" s="185">
        <f>SUM(C9:C18)</f>
        <v>0.18250063506062925</v>
      </c>
      <c r="D19" s="122">
        <f>SUM(D9:D18)</f>
        <v>0.018847364939370777</v>
      </c>
      <c r="E19" s="122"/>
      <c r="F19" s="122">
        <f>SUM(F9:F18)</f>
        <v>25.28852207892367</v>
      </c>
      <c r="G19" s="128">
        <f>SUM(G9:G18)</f>
        <v>28.323144728394514</v>
      </c>
      <c r="H19" s="18"/>
      <c r="I19" s="117">
        <f>SUM(I9:I18)</f>
        <v>11998819.571734559</v>
      </c>
      <c r="J19" s="67"/>
      <c r="K19" s="7"/>
    </row>
    <row r="20" spans="1:11" ht="12.75">
      <c r="A20" s="75"/>
      <c r="B20" s="125"/>
      <c r="C20" s="126"/>
      <c r="D20" s="126"/>
      <c r="E20" s="126"/>
      <c r="F20" s="126"/>
      <c r="G20" s="126"/>
      <c r="H20" s="32"/>
      <c r="I20" s="127"/>
      <c r="J20" s="67"/>
      <c r="K20" s="7"/>
    </row>
    <row r="21" spans="1:11" ht="12.75">
      <c r="A21" s="75"/>
      <c r="B21" s="129"/>
      <c r="C21" s="130"/>
      <c r="D21" s="126"/>
      <c r="E21" s="126"/>
      <c r="F21" s="126"/>
      <c r="G21" s="126"/>
      <c r="H21" s="32"/>
      <c r="I21" s="127"/>
      <c r="J21" s="67"/>
      <c r="K21" s="7"/>
    </row>
    <row r="22" spans="1:11" ht="12.75">
      <c r="A22" s="75"/>
      <c r="B22" s="131"/>
      <c r="C22" s="132"/>
      <c r="D22" s="77"/>
      <c r="E22" s="75"/>
      <c r="F22" s="78"/>
      <c r="G22" s="78"/>
      <c r="I22" s="68"/>
      <c r="J22" s="67"/>
      <c r="K22" s="7"/>
    </row>
    <row r="23" spans="1:11" ht="12.75" hidden="1">
      <c r="A23" s="123" t="s">
        <v>56</v>
      </c>
      <c r="B23" s="76"/>
      <c r="C23" s="77"/>
      <c r="D23" s="77"/>
      <c r="E23" s="75"/>
      <c r="F23" s="78"/>
      <c r="G23" s="78"/>
      <c r="I23" s="68"/>
      <c r="J23" s="67"/>
      <c r="K23" s="7"/>
    </row>
    <row r="24" spans="1:9" ht="12.75" hidden="1">
      <c r="A24" s="124" t="s">
        <v>57</v>
      </c>
      <c r="I24" s="118"/>
    </row>
    <row r="25" spans="1:9" ht="12.75">
      <c r="A25" s="124"/>
      <c r="I25" s="118"/>
    </row>
    <row r="26" spans="1:9" ht="12.75">
      <c r="A26" s="124"/>
      <c r="I26" s="118"/>
    </row>
    <row r="27" spans="1:9" ht="12.75">
      <c r="A27" s="124"/>
      <c r="I27" s="118"/>
    </row>
    <row r="31" spans="1:9" ht="12.75">
      <c r="A31" t="s">
        <v>76</v>
      </c>
      <c r="I31" t="s">
        <v>75</v>
      </c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177"/>
    </row>
    <row r="35" spans="1:11" ht="54.7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187"/>
      <c r="K35" s="177"/>
    </row>
    <row r="36" spans="1:11" ht="12.75">
      <c r="A36" s="186"/>
      <c r="B36" s="187"/>
      <c r="C36" s="186"/>
      <c r="D36" s="187"/>
      <c r="E36" s="186"/>
      <c r="F36" s="187"/>
      <c r="G36" s="186"/>
      <c r="H36" s="187"/>
      <c r="I36" s="186"/>
      <c r="J36" s="32"/>
      <c r="K36" s="177"/>
    </row>
    <row r="37" spans="1:11" ht="12.75">
      <c r="A37" s="186"/>
      <c r="B37" s="187"/>
      <c r="C37" s="187"/>
      <c r="D37" s="187"/>
      <c r="E37" s="187"/>
      <c r="F37" s="187"/>
      <c r="G37" s="187"/>
      <c r="H37" s="187"/>
      <c r="I37" s="186"/>
      <c r="J37" s="32"/>
      <c r="K37" s="177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177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177"/>
    </row>
    <row r="40" spans="1:11" ht="12.75">
      <c r="A40" s="129"/>
      <c r="B40" s="129"/>
      <c r="C40" s="130"/>
      <c r="D40" s="130"/>
      <c r="E40" s="180"/>
      <c r="F40" s="32"/>
      <c r="G40" s="32"/>
      <c r="H40" s="32"/>
      <c r="I40" s="32"/>
      <c r="J40" s="32"/>
      <c r="K40" s="177"/>
    </row>
    <row r="41" spans="1:11" ht="12.75">
      <c r="A41" s="131"/>
      <c r="B41" s="131"/>
      <c r="C41" s="132"/>
      <c r="D41" s="77"/>
      <c r="E41" s="32"/>
      <c r="F41" s="32"/>
      <c r="G41" s="32"/>
      <c r="H41" s="32"/>
      <c r="I41" s="32"/>
      <c r="J41" s="32"/>
      <c r="K41" s="177"/>
    </row>
    <row r="42" spans="1:11" ht="12.75">
      <c r="A42" s="32"/>
      <c r="B42" s="76"/>
      <c r="C42" s="77"/>
      <c r="D42" s="77"/>
      <c r="E42" s="32"/>
      <c r="F42" s="32"/>
      <c r="G42" s="32"/>
      <c r="H42" s="32"/>
      <c r="I42" s="32"/>
      <c r="J42" s="32"/>
      <c r="K42" s="177"/>
    </row>
    <row r="43" spans="1:1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177"/>
    </row>
    <row r="44" spans="1:11" ht="12.75">
      <c r="A44" s="177"/>
      <c r="B44" s="32"/>
      <c r="C44" s="177"/>
      <c r="D44" s="188"/>
      <c r="E44" s="189"/>
      <c r="F44" s="32"/>
      <c r="G44" s="32"/>
      <c r="H44" s="32"/>
      <c r="I44" s="32"/>
      <c r="J44" s="32"/>
      <c r="K44" s="177"/>
    </row>
    <row r="45" spans="1:1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177"/>
    </row>
    <row r="46" spans="1:11" ht="12.75">
      <c r="A46" s="213"/>
      <c r="B46" s="213"/>
      <c r="C46" s="213"/>
      <c r="D46" s="213"/>
      <c r="E46" s="213"/>
      <c r="F46" s="213"/>
      <c r="G46" s="213"/>
      <c r="H46" s="213"/>
      <c r="I46" s="213"/>
      <c r="J46" s="187"/>
      <c r="K46" s="177"/>
    </row>
    <row r="47" spans="1:11" ht="12.75">
      <c r="A47" s="186"/>
      <c r="B47" s="187"/>
      <c r="C47" s="186"/>
      <c r="D47" s="187"/>
      <c r="E47" s="186"/>
      <c r="F47" s="187"/>
      <c r="G47" s="186"/>
      <c r="H47" s="187"/>
      <c r="I47" s="186"/>
      <c r="J47" s="32"/>
      <c r="K47" s="177"/>
    </row>
    <row r="48" spans="1:11" ht="12.75">
      <c r="A48" s="186"/>
      <c r="B48" s="187"/>
      <c r="C48" s="187"/>
      <c r="D48" s="187"/>
      <c r="E48" s="187"/>
      <c r="F48" s="187"/>
      <c r="G48" s="187"/>
      <c r="H48" s="187"/>
      <c r="I48" s="186"/>
      <c r="J48" s="32"/>
      <c r="K48" s="177"/>
    </row>
    <row r="49" spans="1:1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177"/>
    </row>
    <row r="50" spans="1:1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177"/>
    </row>
    <row r="51" spans="1:11" ht="12.75">
      <c r="A51" s="129"/>
      <c r="B51" s="129"/>
      <c r="C51" s="130"/>
      <c r="D51" s="130"/>
      <c r="E51" s="180"/>
      <c r="F51" s="32"/>
      <c r="G51" s="32"/>
      <c r="H51" s="32"/>
      <c r="I51" s="32"/>
      <c r="J51" s="32"/>
      <c r="K51" s="177"/>
    </row>
    <row r="52" spans="1:11" ht="12.75">
      <c r="A52" s="131"/>
      <c r="B52" s="131"/>
      <c r="C52" s="132"/>
      <c r="D52" s="77"/>
      <c r="E52" s="32"/>
      <c r="F52" s="32"/>
      <c r="G52" s="32"/>
      <c r="H52" s="32"/>
      <c r="I52" s="32"/>
      <c r="J52" s="32"/>
      <c r="K52" s="177"/>
    </row>
    <row r="53" spans="1:11" ht="12.75">
      <c r="A53" s="32"/>
      <c r="B53" s="76"/>
      <c r="C53" s="77"/>
      <c r="D53" s="77"/>
      <c r="E53" s="32"/>
      <c r="F53" s="32"/>
      <c r="G53" s="32"/>
      <c r="H53" s="32"/>
      <c r="I53" s="32"/>
      <c r="J53" s="32"/>
      <c r="K53" s="177"/>
    </row>
    <row r="54" spans="1:1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177"/>
    </row>
    <row r="55" spans="1:11" ht="12.75">
      <c r="A55" s="177"/>
      <c r="B55" s="32"/>
      <c r="C55" s="190"/>
      <c r="D55" s="188"/>
      <c r="E55" s="189"/>
      <c r="F55" s="32"/>
      <c r="G55" s="32"/>
      <c r="H55" s="32"/>
      <c r="I55" s="32"/>
      <c r="J55" s="32"/>
      <c r="K55" s="177"/>
    </row>
    <row r="56" spans="1:11" ht="12.7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</row>
    <row r="57" spans="1:11" ht="12.75">
      <c r="A57" s="177"/>
      <c r="B57" s="177"/>
      <c r="C57" s="177"/>
      <c r="D57" s="178"/>
      <c r="E57" s="179"/>
      <c r="F57" s="177"/>
      <c r="G57" s="177"/>
      <c r="H57" s="177"/>
      <c r="I57" s="177"/>
      <c r="J57" s="177"/>
      <c r="K57" s="177"/>
    </row>
    <row r="58" spans="1:11" ht="12.7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</row>
    <row r="59" spans="1:11" ht="12.7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</row>
    <row r="60" spans="1:11" ht="12.7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</row>
    <row r="61" spans="1:11" ht="12.7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</row>
    <row r="62" spans="1:11" ht="12.7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</row>
    <row r="63" spans="1:11" ht="12.7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</row>
  </sheetData>
  <sheetProtection/>
  <mergeCells count="4">
    <mergeCell ref="A46:D46"/>
    <mergeCell ref="E46:I46"/>
    <mergeCell ref="A35:D35"/>
    <mergeCell ref="E3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2"/>
  <sheetViews>
    <sheetView zoomScaleSheetLayoutView="100" workbookViewId="0" topLeftCell="A34">
      <selection activeCell="N48" sqref="N48"/>
    </sheetView>
  </sheetViews>
  <sheetFormatPr defaultColWidth="9.00390625" defaultRowHeight="12.75"/>
  <cols>
    <col min="7" max="7" width="9.375" style="0" customWidth="1"/>
    <col min="15" max="15" width="10.25390625" style="0" bestFit="1" customWidth="1"/>
    <col min="17" max="17" width="10.25390625" style="0" bestFit="1" customWidth="1"/>
    <col min="19" max="21" width="9.00390625" style="0" bestFit="1" customWidth="1"/>
  </cols>
  <sheetData>
    <row r="1" spans="7:12" ht="12.75">
      <c r="G1" s="219" t="s">
        <v>17</v>
      </c>
      <c r="H1" s="219"/>
      <c r="I1" s="105"/>
      <c r="J1" s="105"/>
      <c r="K1" s="105"/>
      <c r="L1" s="105"/>
    </row>
    <row r="2" spans="7:12" ht="12.75">
      <c r="G2" s="5" t="s">
        <v>62</v>
      </c>
      <c r="H2" s="4"/>
      <c r="I2" s="4"/>
      <c r="J2" s="4"/>
      <c r="K2" s="4"/>
      <c r="L2" s="4"/>
    </row>
    <row r="3" ht="12.75">
      <c r="G3" s="6" t="s">
        <v>64</v>
      </c>
    </row>
    <row r="4" spans="7:12" ht="16.5">
      <c r="G4" s="217" t="s">
        <v>49</v>
      </c>
      <c r="H4" s="218"/>
      <c r="I4" s="218"/>
      <c r="J4" s="218"/>
      <c r="K4" s="218"/>
      <c r="L4" s="218"/>
    </row>
    <row r="5" spans="7:12" ht="9" customHeight="1" thickBot="1">
      <c r="G5" s="8"/>
      <c r="H5" s="8"/>
      <c r="I5" s="8"/>
      <c r="J5" s="8"/>
      <c r="K5" s="8"/>
      <c r="L5" s="8"/>
    </row>
    <row r="6" spans="1:54" ht="12.75">
      <c r="A6" s="214" t="s">
        <v>65</v>
      </c>
      <c r="B6" s="215"/>
      <c r="C6" s="215"/>
      <c r="D6" s="215"/>
      <c r="E6" s="215"/>
      <c r="F6" s="216"/>
      <c r="G6" s="214" t="s">
        <v>66</v>
      </c>
      <c r="H6" s="215"/>
      <c r="I6" s="215"/>
      <c r="J6" s="215"/>
      <c r="K6" s="215"/>
      <c r="L6" s="216"/>
      <c r="M6" s="214" t="s">
        <v>67</v>
      </c>
      <c r="N6" s="215"/>
      <c r="O6" s="215"/>
      <c r="P6" s="215"/>
      <c r="Q6" s="215"/>
      <c r="R6" s="216"/>
      <c r="S6" s="214" t="s">
        <v>68</v>
      </c>
      <c r="T6" s="215"/>
      <c r="U6" s="215"/>
      <c r="V6" s="215"/>
      <c r="W6" s="215"/>
      <c r="X6" s="216"/>
      <c r="Y6" s="214" t="s">
        <v>69</v>
      </c>
      <c r="Z6" s="215"/>
      <c r="AA6" s="215"/>
      <c r="AB6" s="215"/>
      <c r="AC6" s="215"/>
      <c r="AD6" s="216"/>
      <c r="AE6" s="214" t="s">
        <v>70</v>
      </c>
      <c r="AF6" s="215"/>
      <c r="AG6" s="215"/>
      <c r="AH6" s="215"/>
      <c r="AI6" s="215"/>
      <c r="AJ6" s="216"/>
      <c r="AK6" s="214" t="s">
        <v>71</v>
      </c>
      <c r="AL6" s="215"/>
      <c r="AM6" s="215"/>
      <c r="AN6" s="215"/>
      <c r="AO6" s="215"/>
      <c r="AP6" s="216"/>
      <c r="AQ6" s="214" t="s">
        <v>72</v>
      </c>
      <c r="AR6" s="215"/>
      <c r="AS6" s="215"/>
      <c r="AT6" s="215"/>
      <c r="AU6" s="215"/>
      <c r="AV6" s="216"/>
      <c r="AW6" s="214" t="s">
        <v>73</v>
      </c>
      <c r="AX6" s="215"/>
      <c r="AY6" s="215"/>
      <c r="AZ6" s="215"/>
      <c r="BA6" s="215"/>
      <c r="BB6" s="216"/>
    </row>
    <row r="7" spans="1:54" s="12" customFormat="1" ht="25.5" customHeight="1">
      <c r="A7" s="79" t="s">
        <v>18</v>
      </c>
      <c r="B7" s="10" t="s">
        <v>25</v>
      </c>
      <c r="C7" s="11" t="s">
        <v>12</v>
      </c>
      <c r="D7" s="11" t="s">
        <v>26</v>
      </c>
      <c r="E7" s="10" t="s">
        <v>27</v>
      </c>
      <c r="F7" s="80" t="s">
        <v>28</v>
      </c>
      <c r="G7" s="79" t="s">
        <v>18</v>
      </c>
      <c r="H7" s="10" t="s">
        <v>25</v>
      </c>
      <c r="I7" s="11" t="s">
        <v>12</v>
      </c>
      <c r="J7" s="11" t="s">
        <v>26</v>
      </c>
      <c r="K7" s="10" t="s">
        <v>27</v>
      </c>
      <c r="L7" s="80" t="s">
        <v>28</v>
      </c>
      <c r="M7" s="79" t="s">
        <v>18</v>
      </c>
      <c r="N7" s="10" t="s">
        <v>25</v>
      </c>
      <c r="O7" s="11" t="s">
        <v>12</v>
      </c>
      <c r="P7" s="11" t="s">
        <v>26</v>
      </c>
      <c r="Q7" s="10" t="s">
        <v>27</v>
      </c>
      <c r="R7" s="80" t="s">
        <v>28</v>
      </c>
      <c r="S7" s="79" t="s">
        <v>18</v>
      </c>
      <c r="T7" s="10" t="s">
        <v>25</v>
      </c>
      <c r="U7" s="11" t="s">
        <v>12</v>
      </c>
      <c r="V7" s="11" t="s">
        <v>26</v>
      </c>
      <c r="W7" s="10" t="s">
        <v>27</v>
      </c>
      <c r="X7" s="80" t="s">
        <v>28</v>
      </c>
      <c r="Y7" s="79" t="s">
        <v>18</v>
      </c>
      <c r="Z7" s="10" t="s">
        <v>25</v>
      </c>
      <c r="AA7" s="11" t="s">
        <v>12</v>
      </c>
      <c r="AB7" s="11" t="s">
        <v>26</v>
      </c>
      <c r="AC7" s="10" t="s">
        <v>27</v>
      </c>
      <c r="AD7" s="80" t="s">
        <v>28</v>
      </c>
      <c r="AE7" s="79" t="s">
        <v>18</v>
      </c>
      <c r="AF7" s="10" t="s">
        <v>25</v>
      </c>
      <c r="AG7" s="11" t="s">
        <v>12</v>
      </c>
      <c r="AH7" s="11" t="s">
        <v>26</v>
      </c>
      <c r="AI7" s="10" t="s">
        <v>27</v>
      </c>
      <c r="AJ7" s="80" t="s">
        <v>28</v>
      </c>
      <c r="AK7" s="79" t="s">
        <v>18</v>
      </c>
      <c r="AL7" s="10" t="s">
        <v>25</v>
      </c>
      <c r="AM7" s="11" t="s">
        <v>12</v>
      </c>
      <c r="AN7" s="11" t="s">
        <v>26</v>
      </c>
      <c r="AO7" s="10" t="s">
        <v>27</v>
      </c>
      <c r="AP7" s="80" t="s">
        <v>28</v>
      </c>
      <c r="AQ7" s="79" t="s">
        <v>18</v>
      </c>
      <c r="AR7" s="10" t="s">
        <v>25</v>
      </c>
      <c r="AS7" s="11" t="s">
        <v>12</v>
      </c>
      <c r="AT7" s="11" t="s">
        <v>26</v>
      </c>
      <c r="AU7" s="10" t="s">
        <v>27</v>
      </c>
      <c r="AV7" s="80" t="s">
        <v>28</v>
      </c>
      <c r="AW7" s="79" t="s">
        <v>18</v>
      </c>
      <c r="AX7" s="10" t="s">
        <v>25</v>
      </c>
      <c r="AY7" s="11" t="s">
        <v>12</v>
      </c>
      <c r="AZ7" s="11" t="s">
        <v>26</v>
      </c>
      <c r="BA7" s="10" t="s">
        <v>27</v>
      </c>
      <c r="BB7" s="80" t="s">
        <v>28</v>
      </c>
    </row>
    <row r="8" spans="1:54" s="16" customFormat="1" ht="15.75">
      <c r="A8" s="81" t="s">
        <v>29</v>
      </c>
      <c r="B8" s="14">
        <v>-33.7</v>
      </c>
      <c r="C8" s="15">
        <f>1*(21-B8)/(21+33.7)</f>
        <v>1</v>
      </c>
      <c r="D8" s="14">
        <f>POWER(C8,0.8)</f>
        <v>1</v>
      </c>
      <c r="E8" s="184">
        <f>21+(120-0.5*95-0.5*70)*C8+0.5*(95+70-2*21)*D8</f>
        <v>120</v>
      </c>
      <c r="F8" s="82">
        <f>B8+(21-B8)*(95-B8)/(E8-B8)</f>
        <v>12.102797657774886</v>
      </c>
      <c r="G8" s="81" t="s">
        <v>29</v>
      </c>
      <c r="H8" s="14">
        <v>-33.7</v>
      </c>
      <c r="I8" s="15">
        <f>1*(21-H8)/(21+33.7)</f>
        <v>1</v>
      </c>
      <c r="J8" s="14">
        <f>POWER(I8,0.8)</f>
        <v>1</v>
      </c>
      <c r="K8" s="184">
        <f>21+(120-0.5*95-0.5*70)*I8+0.5*(95+70-2*21)*J8</f>
        <v>120</v>
      </c>
      <c r="L8" s="82">
        <v>21</v>
      </c>
      <c r="M8" s="81" t="s">
        <v>29</v>
      </c>
      <c r="N8" s="14">
        <v>-33.7</v>
      </c>
      <c r="O8" s="15">
        <f>1*(21-N8)/(21+33.7)</f>
        <v>1</v>
      </c>
      <c r="P8" s="14">
        <f>POWER(O8,0.8)</f>
        <v>1</v>
      </c>
      <c r="Q8" s="184">
        <f>21+(120-0.5*95-0.5*70)*O8+0.5*(95+70-2*21)*P8</f>
        <v>120</v>
      </c>
      <c r="R8" s="82">
        <v>21</v>
      </c>
      <c r="S8" s="81" t="s">
        <v>29</v>
      </c>
      <c r="T8" s="14">
        <v>-33.7</v>
      </c>
      <c r="U8" s="15">
        <f>1*(21-T8)/(21+33.7)</f>
        <v>1</v>
      </c>
      <c r="V8" s="14">
        <f>POWER(U8,0.8)</f>
        <v>1</v>
      </c>
      <c r="W8" s="184">
        <f>21+(120-0.5*95-0.5*70)*U8+0.5*(95+70-2*21)*V8</f>
        <v>120</v>
      </c>
      <c r="X8" s="82">
        <v>21</v>
      </c>
      <c r="Y8" s="81" t="s">
        <v>29</v>
      </c>
      <c r="Z8" s="14">
        <v>-33.7</v>
      </c>
      <c r="AA8" s="15">
        <f>1*(21-Z8)/(21+33.7)</f>
        <v>1</v>
      </c>
      <c r="AB8" s="14">
        <f>POWER(AA8,0.8)</f>
        <v>1</v>
      </c>
      <c r="AC8" s="184">
        <f>21+(120-0.5*95-0.5*70)*AA8+0.5*(95+70-2*21)*AB8</f>
        <v>120</v>
      </c>
      <c r="AD8" s="82">
        <v>21</v>
      </c>
      <c r="AE8" s="81" t="s">
        <v>29</v>
      </c>
      <c r="AF8" s="14">
        <v>-33.7</v>
      </c>
      <c r="AG8" s="15">
        <f>1*(21-AF8)/(21+33.7)</f>
        <v>1</v>
      </c>
      <c r="AH8" s="14">
        <f>POWER(AG8,0.8)</f>
        <v>1</v>
      </c>
      <c r="AI8" s="184">
        <f>21+(120-0.5*95-0.5*70)*AG8+0.5*(95+70-2*21)*AH8</f>
        <v>120</v>
      </c>
      <c r="AJ8" s="82">
        <v>21</v>
      </c>
      <c r="AK8" s="81" t="s">
        <v>29</v>
      </c>
      <c r="AL8" s="14">
        <v>-33.7</v>
      </c>
      <c r="AM8" s="15">
        <f>1*(21-AL8)/(21+33.7)</f>
        <v>1</v>
      </c>
      <c r="AN8" s="14">
        <f>POWER(AM8,0.8)</f>
        <v>1</v>
      </c>
      <c r="AO8" s="184">
        <f>21+(120-0.5*95-0.5*70)*AM8+0.5*(95+70-2*21)*AN8</f>
        <v>120</v>
      </c>
      <c r="AP8" s="82">
        <v>21</v>
      </c>
      <c r="AQ8" s="81" t="s">
        <v>29</v>
      </c>
      <c r="AR8" s="14">
        <v>-33.7</v>
      </c>
      <c r="AS8" s="15">
        <f>1*(21-AR8)/(21+33.7)</f>
        <v>1</v>
      </c>
      <c r="AT8" s="14">
        <f>POWER(AS8,0.8)</f>
        <v>1</v>
      </c>
      <c r="AU8" s="184">
        <f>21+(120-0.5*95-0.5*70)*AS8+0.5*(95+70-2*21)*AT8</f>
        <v>120</v>
      </c>
      <c r="AV8" s="82">
        <v>21</v>
      </c>
      <c r="AW8" s="81" t="s">
        <v>29</v>
      </c>
      <c r="AX8" s="14">
        <v>-33.7</v>
      </c>
      <c r="AY8" s="15">
        <f>1*(21-AX8)/(21+33.7)</f>
        <v>1</v>
      </c>
      <c r="AZ8" s="14">
        <f>POWER(AY8,0.8)</f>
        <v>1</v>
      </c>
      <c r="BA8" s="14">
        <f>21+(120-0.5*95-0.5*70)*AY8+0.5*(95+70-2*21)*AZ8</f>
        <v>120</v>
      </c>
      <c r="BB8" s="82">
        <v>21</v>
      </c>
    </row>
    <row r="9" spans="1:54" s="16" customFormat="1" ht="18" customHeight="1">
      <c r="A9" s="81" t="s">
        <v>30</v>
      </c>
      <c r="B9" s="184">
        <v>-3.419</v>
      </c>
      <c r="C9" s="174">
        <f>1*(21-B9)/(21+33.7)</f>
        <v>0.44641681901279706</v>
      </c>
      <c r="D9" s="17">
        <f>POWER(C9,0.8)</f>
        <v>0.5245567003847366</v>
      </c>
      <c r="E9" s="175">
        <f>21+(120-0.5*95-0.5*70)*C9+0.5*(95+70-2*21)*D9</f>
        <v>70.0008677866412</v>
      </c>
      <c r="F9" s="212">
        <f>B9+(21-B9)*(70-B9)/(E9-B9)</f>
        <v>20.999711379458585</v>
      </c>
      <c r="G9" s="81" t="s">
        <v>30</v>
      </c>
      <c r="H9" s="174">
        <v>-3.42</v>
      </c>
      <c r="I9" s="174">
        <f>1*(21-H9)/(21+33.7)</f>
        <v>0.4464351005484461</v>
      </c>
      <c r="J9" s="17">
        <f>POWER(I9,0.8)</f>
        <v>0.524573885512785</v>
      </c>
      <c r="K9" s="175">
        <f>21+(120-0.5*95-0.5*70)*I9+0.5*(95+70-2*21)*J9</f>
        <v>70.00261022960301</v>
      </c>
      <c r="L9" s="82">
        <f>H9+(21-H9)*(70-H9)/(K9-H9)</f>
        <v>20.999131850438083</v>
      </c>
      <c r="M9" s="81" t="s">
        <v>30</v>
      </c>
      <c r="N9" s="174">
        <v>-3.42</v>
      </c>
      <c r="O9" s="174">
        <f>1*(21-N9)/(21+33.7)</f>
        <v>0.4464351005484461</v>
      </c>
      <c r="P9" s="17">
        <f>POWER(O9,0.8)</f>
        <v>0.524573885512785</v>
      </c>
      <c r="Q9" s="210">
        <f>21+(120-0.5*95-0.5*70)*O9+0.5*(95+70-2*21)*P9</f>
        <v>70.00261022960301</v>
      </c>
      <c r="R9" s="211">
        <f>N9+(21-N9)*(70-N9)/(Q9-N9)</f>
        <v>20.999131850438083</v>
      </c>
      <c r="S9" s="81" t="s">
        <v>30</v>
      </c>
      <c r="T9" s="174">
        <v>-3.42</v>
      </c>
      <c r="U9" s="174">
        <f>1*(21-T9)/(21+33.7)</f>
        <v>0.4464351005484461</v>
      </c>
      <c r="V9" s="17">
        <f>POWER(U9,0.8)</f>
        <v>0.524573885512785</v>
      </c>
      <c r="W9" s="210">
        <f>21+(120-0.5*95-0.5*70)*U9+0.5*(95+70-2*21)*V9</f>
        <v>70.00261022960301</v>
      </c>
      <c r="X9" s="211">
        <f>T9+(21-T9)*(70-T9)/(W9-T9)</f>
        <v>20.999131850438083</v>
      </c>
      <c r="Y9" s="81" t="s">
        <v>30</v>
      </c>
      <c r="Z9" s="174">
        <v>-3.42</v>
      </c>
      <c r="AA9" s="174">
        <f>1*(21-Z9)/(21+33.7)</f>
        <v>0.4464351005484461</v>
      </c>
      <c r="AB9" s="17">
        <f>POWER(AA9,0.8)</f>
        <v>0.524573885512785</v>
      </c>
      <c r="AC9" s="210">
        <f>21+(120-0.5*95-0.5*70)*AA9+0.5*(95+70-2*21)*AB9</f>
        <v>70.00261022960301</v>
      </c>
      <c r="AD9" s="211">
        <f>Z9+(21-Z9)*(70-Z9)/(AC9-Z9)</f>
        <v>20.999131850438083</v>
      </c>
      <c r="AE9" s="81" t="s">
        <v>30</v>
      </c>
      <c r="AF9" s="174">
        <v>-3.42</v>
      </c>
      <c r="AG9" s="174">
        <f>1*(21-AF9)/(21+33.7)</f>
        <v>0.4464351005484461</v>
      </c>
      <c r="AH9" s="17">
        <f>POWER(AG9,0.8)</f>
        <v>0.524573885512785</v>
      </c>
      <c r="AI9" s="210">
        <f>21+(120-0.5*95-0.5*70)*AG9+0.5*(95+70-2*21)*AH9</f>
        <v>70.00261022960301</v>
      </c>
      <c r="AJ9" s="211">
        <f>AF9+(21-AF9)*(70-AF9)/(AI9-AF9)</f>
        <v>20.999131850438083</v>
      </c>
      <c r="AK9" s="81" t="s">
        <v>30</v>
      </c>
      <c r="AL9" s="174">
        <v>-3.42</v>
      </c>
      <c r="AM9" s="174">
        <f>1*(21-AL9)/(21+33.7)</f>
        <v>0.4464351005484461</v>
      </c>
      <c r="AN9" s="17">
        <f>POWER(AM9,0.8)</f>
        <v>0.524573885512785</v>
      </c>
      <c r="AO9" s="210">
        <f>21+(120-0.5*95-0.5*70)*AM9+0.5*(95+70-2*21)*AN9</f>
        <v>70.00261022960301</v>
      </c>
      <c r="AP9" s="211">
        <f>AL9+(21-AL9)*(70-AL9)/(AO9-AL9)</f>
        <v>20.999131850438083</v>
      </c>
      <c r="AQ9" s="81" t="s">
        <v>30</v>
      </c>
      <c r="AR9" s="174">
        <v>-3.42</v>
      </c>
      <c r="AS9" s="174">
        <f>1*(21-AR9)/(21+33.7)</f>
        <v>0.4464351005484461</v>
      </c>
      <c r="AT9" s="17">
        <f>POWER(AS9,0.8)</f>
        <v>0.524573885512785</v>
      </c>
      <c r="AU9" s="210">
        <f>21+(120-0.5*95-0.5*70)*AS9+0.5*(95+70-2*21)*AT9</f>
        <v>70.00261022960301</v>
      </c>
      <c r="AV9" s="211">
        <f>AR9+(21-AR9)*(70-AR9)/(AU9-AR9)</f>
        <v>20.999131850438083</v>
      </c>
      <c r="AW9" s="81" t="s">
        <v>30</v>
      </c>
      <c r="AX9" s="174">
        <v>-3.42</v>
      </c>
      <c r="AY9" s="15">
        <f>1*(21-AX9)/(21+33.7)</f>
        <v>0.4464351005484461</v>
      </c>
      <c r="AZ9" s="17">
        <f>POWER(AY9,0.8)</f>
        <v>0.524573885512785</v>
      </c>
      <c r="BA9" s="175">
        <f>21+(120-0.5*95-0.5*70)*AY9+0.5*(95+70-2*21)*AZ9</f>
        <v>70.00261022960301</v>
      </c>
      <c r="BB9" s="82">
        <f>AX9+(21-AX9)*(70-AX9)/(BA9-AX9)</f>
        <v>20.999131850438083</v>
      </c>
    </row>
    <row r="10" spans="1:54" ht="15.75" customHeight="1">
      <c r="A10" s="83"/>
      <c r="B10" s="18"/>
      <c r="C10" s="18"/>
      <c r="D10" s="18"/>
      <c r="E10" s="18"/>
      <c r="F10" s="84"/>
      <c r="G10" s="83"/>
      <c r="H10" s="18"/>
      <c r="I10" s="18"/>
      <c r="J10" s="18"/>
      <c r="K10" s="18"/>
      <c r="L10" s="84"/>
      <c r="M10" s="83"/>
      <c r="N10" s="135"/>
      <c r="O10" s="18"/>
      <c r="P10" s="18"/>
      <c r="Q10" s="18"/>
      <c r="R10" s="84"/>
      <c r="S10" s="83"/>
      <c r="T10" s="135"/>
      <c r="U10" s="18"/>
      <c r="V10" s="18"/>
      <c r="W10" s="18"/>
      <c r="X10" s="84"/>
      <c r="Y10" s="83"/>
      <c r="Z10" s="135"/>
      <c r="AA10" s="18"/>
      <c r="AB10" s="18"/>
      <c r="AC10" s="18"/>
      <c r="AD10" s="84"/>
      <c r="AE10" s="83"/>
      <c r="AF10" s="135"/>
      <c r="AG10" s="18"/>
      <c r="AH10" s="18"/>
      <c r="AI10" s="18"/>
      <c r="AJ10" s="84"/>
      <c r="AK10" s="83"/>
      <c r="AL10" s="18"/>
      <c r="AM10" s="18"/>
      <c r="AN10" s="18"/>
      <c r="AO10" s="18"/>
      <c r="AP10" s="84"/>
      <c r="AQ10" s="83"/>
      <c r="AR10" s="18"/>
      <c r="AS10" s="18"/>
      <c r="AT10" s="18"/>
      <c r="AU10" s="18"/>
      <c r="AV10" s="84"/>
      <c r="AW10" s="83"/>
      <c r="AX10" s="18"/>
      <c r="AY10" s="18"/>
      <c r="AZ10" s="18"/>
      <c r="BA10" s="18"/>
      <c r="BB10" s="84"/>
    </row>
    <row r="11" spans="1:54" ht="15" customHeight="1">
      <c r="A11" s="83">
        <v>1</v>
      </c>
      <c r="B11" s="73"/>
      <c r="C11" s="19"/>
      <c r="D11" s="19"/>
      <c r="E11" s="20"/>
      <c r="F11" s="85"/>
      <c r="G11" s="83">
        <v>1</v>
      </c>
      <c r="H11" s="202">
        <v>3.6</v>
      </c>
      <c r="I11" s="156">
        <f>1*(21-H11)/(21+36)</f>
        <v>0.3052631578947368</v>
      </c>
      <c r="J11" s="196">
        <f>POWER(I11,0.8)</f>
        <v>0.38702544092403784</v>
      </c>
      <c r="K11" s="194">
        <f aca="true" t="shared" si="0" ref="K11:K41">21+(120-0.5*95-0.5*70)*I11+0.5*(95+70-2*21)*J11</f>
        <v>56.24943303788096</v>
      </c>
      <c r="L11" s="207">
        <f aca="true" t="shared" si="1" ref="L11:L41">H11+(21-H11)*(70-H11)/(K11-H11)</f>
        <v>25.544395852633876</v>
      </c>
      <c r="M11" s="134">
        <v>1</v>
      </c>
      <c r="N11" s="203">
        <v>4.2</v>
      </c>
      <c r="O11" s="156">
        <f aca="true" t="shared" si="2" ref="O11:O40">1*(21-N11)/(21+36)</f>
        <v>0.2947368421052632</v>
      </c>
      <c r="P11" s="196">
        <f aca="true" t="shared" si="3" ref="P11:P26">POWER(O11,0.8)</f>
        <v>0.3763115436471007</v>
      </c>
      <c r="Q11" s="194">
        <f aca="true" t="shared" si="4" ref="Q11:Q40">21+(120-0.5*95-0.5*70)*O11+0.5*(95+70-2*21)*P11</f>
        <v>55.19579151324406</v>
      </c>
      <c r="R11" s="207">
        <f aca="true" t="shared" si="5" ref="R11:R24">N11+(21-N11)*(70-N11)/(Q11-N11)</f>
        <v>25.87708289639759</v>
      </c>
      <c r="S11" s="134">
        <v>1</v>
      </c>
      <c r="T11" s="203">
        <v>-4.1</v>
      </c>
      <c r="U11" s="156">
        <f aca="true" t="shared" si="6" ref="U11:U41">1*(21-T11)/(21+36)</f>
        <v>0.4403508771929825</v>
      </c>
      <c r="V11" s="196">
        <f aca="true" t="shared" si="7" ref="V11:V26">POWER(U11,0.8)</f>
        <v>0.5188467403731978</v>
      </c>
      <c r="W11" s="194">
        <f aca="true" t="shared" si="8" ref="W11:W40">21+(120-0.5*95-0.5*70)*U11+0.5*(95+70-2*21)*V11</f>
        <v>69.4222324276885</v>
      </c>
      <c r="X11" s="207">
        <v>21</v>
      </c>
      <c r="Y11" s="134">
        <v>1</v>
      </c>
      <c r="Z11" s="202">
        <v>-13.9</v>
      </c>
      <c r="AA11" s="156">
        <f aca="true" t="shared" si="9" ref="AA11:AA41">1*(21-Z11)/(21+36)</f>
        <v>0.612280701754386</v>
      </c>
      <c r="AB11" s="196">
        <f aca="true" t="shared" si="10" ref="AB11:AB26">POWER(AA11,0.8)</f>
        <v>0.6753990680362658</v>
      </c>
      <c r="AC11" s="194">
        <f aca="true" t="shared" si="11" ref="AC11:AC40">21+(120-0.5*95-0.5*70)*AA11+0.5*(95+70-2*21)*AB11</f>
        <v>85.49756900001982</v>
      </c>
      <c r="AD11" s="207">
        <v>21</v>
      </c>
      <c r="AE11" s="134">
        <v>1</v>
      </c>
      <c r="AF11" s="203">
        <v>-5.3</v>
      </c>
      <c r="AG11" s="156">
        <f aca="true" t="shared" si="12" ref="AG11:AG38">1*(21-AF11)/(21+36)</f>
        <v>0.4614035087719298</v>
      </c>
      <c r="AH11" s="196">
        <f aca="true" t="shared" si="13" ref="AH11:AH26">POWER(AG11,0.8)</f>
        <v>0.5385979725432041</v>
      </c>
      <c r="AI11" s="194">
        <f aca="true" t="shared" si="14" ref="AI11:AI38">21+(120-0.5*95-0.5*70)*AG11+0.5*(95+70-2*21)*AH11</f>
        <v>71.42640689035443</v>
      </c>
      <c r="AJ11" s="207">
        <v>21</v>
      </c>
      <c r="AK11" s="83">
        <v>1</v>
      </c>
      <c r="AL11" s="204">
        <v>-6.4</v>
      </c>
      <c r="AM11" s="108">
        <f aca="true" t="shared" si="15" ref="AM11:AM41">1*(21-AL11)/(21+36)</f>
        <v>0.4807017543859649</v>
      </c>
      <c r="AN11" s="19">
        <f aca="true" t="shared" si="16" ref="AN11:AN26">POWER(AM11,0.8)</f>
        <v>0.5565453592218762</v>
      </c>
      <c r="AO11" s="109">
        <f aca="true" t="shared" si="17" ref="AO11:AO40">21+(120-0.5*95-0.5*70)*AM11+0.5*(95+70-2*21)*AN11</f>
        <v>73.25385538161908</v>
      </c>
      <c r="AP11" s="207">
        <v>21</v>
      </c>
      <c r="AQ11" s="83">
        <v>1</v>
      </c>
      <c r="AR11" s="160">
        <v>4.3</v>
      </c>
      <c r="AS11" s="108">
        <f aca="true" t="shared" si="18" ref="AS11:AS30">1*(21-AR11)/(21+36)</f>
        <v>0.29298245614035084</v>
      </c>
      <c r="AT11" s="19">
        <f aca="true" t="shared" si="19" ref="AT11:AT26">POWER(AS11,0.8)</f>
        <v>0.37451851472477876</v>
      </c>
      <c r="AU11" s="109">
        <f aca="true" t="shared" si="20" ref="AU11:AU30">21+(120-0.5*95-0.5*70)*AS11+0.5*(95+70-2*21)*AT11</f>
        <v>55.01973076083705</v>
      </c>
      <c r="AV11" s="173">
        <f aca="true" t="shared" si="21" ref="AV11:AV31">AR11+(21-AR11)*(70-AR11)/(AU11-AR11)</f>
        <v>25.932409784935</v>
      </c>
      <c r="AW11" s="83">
        <v>1</v>
      </c>
      <c r="AX11" s="160"/>
      <c r="AY11" s="108"/>
      <c r="AZ11" s="19"/>
      <c r="BA11" s="109"/>
      <c r="BB11" s="173"/>
    </row>
    <row r="12" spans="1:54" ht="15.75" customHeight="1">
      <c r="A12" s="83">
        <v>2</v>
      </c>
      <c r="B12" s="18"/>
      <c r="C12" s="19"/>
      <c r="D12" s="19"/>
      <c r="E12" s="20"/>
      <c r="F12" s="85"/>
      <c r="G12" s="83">
        <v>2</v>
      </c>
      <c r="H12" s="202">
        <v>3.3</v>
      </c>
      <c r="I12" s="156">
        <f aca="true" t="shared" si="22" ref="I12:I41">1*(21-H12)/(21+36)</f>
        <v>0.31052631578947365</v>
      </c>
      <c r="J12" s="196">
        <f>POWER(I12,0.8)</f>
        <v>0.3923545818134822</v>
      </c>
      <c r="K12" s="194">
        <f t="shared" si="0"/>
        <v>56.774543623634415</v>
      </c>
      <c r="L12" s="195">
        <f t="shared" si="1"/>
        <v>25.377607773696052</v>
      </c>
      <c r="M12" s="134">
        <v>2</v>
      </c>
      <c r="N12" s="203">
        <v>-6</v>
      </c>
      <c r="O12" s="156">
        <f t="shared" si="2"/>
        <v>0.47368421052631576</v>
      </c>
      <c r="P12" s="196">
        <f t="shared" si="3"/>
        <v>0.5500360147893926</v>
      </c>
      <c r="Q12" s="194">
        <f t="shared" si="4"/>
        <v>72.59037280428448</v>
      </c>
      <c r="R12" s="195">
        <v>21</v>
      </c>
      <c r="S12" s="134">
        <v>2</v>
      </c>
      <c r="T12" s="203">
        <v>0.7</v>
      </c>
      <c r="U12" s="156">
        <f t="shared" si="6"/>
        <v>0.356140350877193</v>
      </c>
      <c r="V12" s="196">
        <f t="shared" si="7"/>
        <v>0.43782136011056677</v>
      </c>
      <c r="W12" s="194">
        <f t="shared" si="8"/>
        <v>61.2812768046946</v>
      </c>
      <c r="X12" s="195">
        <f>T12+(21-T12)*(70-T12)/(W12-T12)</f>
        <v>23.921531043911312</v>
      </c>
      <c r="Y12" s="134">
        <v>2</v>
      </c>
      <c r="Z12" s="202">
        <v>-10.9</v>
      </c>
      <c r="AA12" s="156">
        <f t="shared" si="9"/>
        <v>0.5596491228070175</v>
      </c>
      <c r="AB12" s="196">
        <f t="shared" si="10"/>
        <v>0.6285396247278778</v>
      </c>
      <c r="AC12" s="194">
        <f t="shared" si="11"/>
        <v>80.64202902602764</v>
      </c>
      <c r="AD12" s="195">
        <v>21</v>
      </c>
      <c r="AE12" s="134">
        <v>2</v>
      </c>
      <c r="AF12" s="203">
        <v>-8.6</v>
      </c>
      <c r="AG12" s="156">
        <f t="shared" si="12"/>
        <v>0.5192982456140351</v>
      </c>
      <c r="AH12" s="196">
        <f t="shared" si="13"/>
        <v>0.5920160546032364</v>
      </c>
      <c r="AI12" s="194">
        <f t="shared" si="14"/>
        <v>76.88267156862534</v>
      </c>
      <c r="AJ12" s="195">
        <v>21</v>
      </c>
      <c r="AK12" s="83">
        <v>2</v>
      </c>
      <c r="AL12" s="204">
        <v>-7.7</v>
      </c>
      <c r="AM12" s="108">
        <f t="shared" si="15"/>
        <v>0.5035087719298246</v>
      </c>
      <c r="AN12" s="19">
        <f t="shared" si="16"/>
        <v>0.5775713375123905</v>
      </c>
      <c r="AO12" s="109">
        <f t="shared" si="17"/>
        <v>75.40221620438044</v>
      </c>
      <c r="AP12" s="173">
        <v>21</v>
      </c>
      <c r="AQ12" s="83">
        <v>2</v>
      </c>
      <c r="AR12" s="160">
        <v>5.3</v>
      </c>
      <c r="AS12" s="108">
        <f t="shared" si="18"/>
        <v>0.27543859649122804</v>
      </c>
      <c r="AT12" s="19">
        <f t="shared" si="19"/>
        <v>0.35646741551529704</v>
      </c>
      <c r="AU12" s="109">
        <f t="shared" si="20"/>
        <v>53.25169342261182</v>
      </c>
      <c r="AV12" s="173">
        <f t="shared" si="21"/>
        <v>26.48361057757764</v>
      </c>
      <c r="AW12" s="83">
        <v>2</v>
      </c>
      <c r="AX12" s="160"/>
      <c r="AY12" s="108"/>
      <c r="AZ12" s="19"/>
      <c r="BA12" s="109"/>
      <c r="BB12" s="173"/>
    </row>
    <row r="13" spans="1:54" ht="14.25" customHeight="1">
      <c r="A13" s="83">
        <v>3</v>
      </c>
      <c r="B13" s="18"/>
      <c r="C13" s="19"/>
      <c r="D13" s="19"/>
      <c r="E13" s="20"/>
      <c r="F13" s="85"/>
      <c r="G13" s="83">
        <v>3</v>
      </c>
      <c r="H13" s="202">
        <v>3.6</v>
      </c>
      <c r="I13" s="156">
        <f t="shared" si="22"/>
        <v>0.3052631578947368</v>
      </c>
      <c r="J13" s="196">
        <f>POWER(I13,0.8)</f>
        <v>0.38702544092403784</v>
      </c>
      <c r="K13" s="194">
        <f t="shared" si="0"/>
        <v>56.24943303788096</v>
      </c>
      <c r="L13" s="195">
        <f t="shared" si="1"/>
        <v>25.544395852633876</v>
      </c>
      <c r="M13" s="134">
        <v>3</v>
      </c>
      <c r="N13" s="203">
        <v>-10.3</v>
      </c>
      <c r="O13" s="156">
        <f t="shared" si="2"/>
        <v>0.5491228070175439</v>
      </c>
      <c r="P13" s="196">
        <f t="shared" si="3"/>
        <v>0.6190640512849793</v>
      </c>
      <c r="Q13" s="194">
        <f t="shared" si="4"/>
        <v>79.66454441718412</v>
      </c>
      <c r="R13" s="195">
        <v>21</v>
      </c>
      <c r="S13" s="134">
        <v>3</v>
      </c>
      <c r="T13" s="203">
        <v>-1.2</v>
      </c>
      <c r="U13" s="156">
        <f t="shared" si="6"/>
        <v>0.3894736842105263</v>
      </c>
      <c r="V13" s="196">
        <f t="shared" si="7"/>
        <v>0.4703081394895525</v>
      </c>
      <c r="W13" s="194">
        <f t="shared" si="8"/>
        <v>64.52921373650221</v>
      </c>
      <c r="X13" s="195">
        <f>T13+(21-T13)*(70-T13)/(W13-T13)</f>
        <v>22.847754569779735</v>
      </c>
      <c r="Y13" s="134">
        <v>3</v>
      </c>
      <c r="Z13" s="202">
        <v>-9.2</v>
      </c>
      <c r="AA13" s="156">
        <f t="shared" si="9"/>
        <v>0.5298245614035088</v>
      </c>
      <c r="AB13" s="196">
        <f t="shared" si="10"/>
        <v>0.6015970110080745</v>
      </c>
      <c r="AC13" s="194">
        <f t="shared" si="11"/>
        <v>77.86663722962815</v>
      </c>
      <c r="AD13" s="195">
        <v>21</v>
      </c>
      <c r="AE13" s="134">
        <v>3</v>
      </c>
      <c r="AF13" s="203">
        <v>-6.6</v>
      </c>
      <c r="AG13" s="156">
        <f t="shared" si="12"/>
        <v>0.4842105263157895</v>
      </c>
      <c r="AH13" s="196">
        <f t="shared" si="13"/>
        <v>0.5597928938384525</v>
      </c>
      <c r="AI13" s="194">
        <f t="shared" si="14"/>
        <v>73.58515770790694</v>
      </c>
      <c r="AJ13" s="195">
        <v>21</v>
      </c>
      <c r="AK13" s="83">
        <v>3</v>
      </c>
      <c r="AL13" s="204">
        <v>-8.2</v>
      </c>
      <c r="AM13" s="108">
        <f t="shared" si="15"/>
        <v>0.512280701754386</v>
      </c>
      <c r="AN13" s="19">
        <f t="shared" si="16"/>
        <v>0.5856071850555391</v>
      </c>
      <c r="AO13" s="109">
        <f t="shared" si="17"/>
        <v>76.22536819670513</v>
      </c>
      <c r="AP13" s="173">
        <v>21</v>
      </c>
      <c r="AQ13" s="83">
        <v>3</v>
      </c>
      <c r="AR13" s="160">
        <v>7.7</v>
      </c>
      <c r="AS13" s="108">
        <f t="shared" si="18"/>
        <v>0.23333333333333334</v>
      </c>
      <c r="AT13" s="19">
        <f t="shared" si="19"/>
        <v>0.312163001751817</v>
      </c>
      <c r="AU13" s="109">
        <f t="shared" si="20"/>
        <v>48.94802460773674</v>
      </c>
      <c r="AV13" s="173">
        <f t="shared" si="21"/>
        <v>27.787992282776724</v>
      </c>
      <c r="AW13" s="83">
        <v>3</v>
      </c>
      <c r="AX13" s="160"/>
      <c r="AY13" s="108"/>
      <c r="AZ13" s="19"/>
      <c r="BA13" s="109"/>
      <c r="BB13" s="173"/>
    </row>
    <row r="14" spans="1:54" ht="15" customHeight="1">
      <c r="A14" s="83">
        <v>4</v>
      </c>
      <c r="B14" s="18"/>
      <c r="C14" s="19"/>
      <c r="D14" s="19"/>
      <c r="E14" s="20"/>
      <c r="F14" s="85"/>
      <c r="G14" s="83">
        <v>4</v>
      </c>
      <c r="H14" s="202">
        <v>-0.3</v>
      </c>
      <c r="I14" s="156">
        <f t="shared" si="22"/>
        <v>0.3736842105263158</v>
      </c>
      <c r="J14" s="196">
        <f>POWER(I14,0.8)</f>
        <v>0.4549920393604519</v>
      </c>
      <c r="K14" s="194">
        <f t="shared" si="0"/>
        <v>62.995168315404634</v>
      </c>
      <c r="L14" s="195">
        <f t="shared" si="1"/>
        <v>23.35725599367067</v>
      </c>
      <c r="M14" s="134">
        <v>4</v>
      </c>
      <c r="N14" s="203">
        <v>-8.3</v>
      </c>
      <c r="O14" s="156">
        <f t="shared" si="2"/>
        <v>0.5140350877192983</v>
      </c>
      <c r="P14" s="196">
        <f t="shared" si="3"/>
        <v>0.5872110396003609</v>
      </c>
      <c r="Q14" s="194">
        <f t="shared" si="4"/>
        <v>76.38979472489588</v>
      </c>
      <c r="R14" s="195">
        <v>21</v>
      </c>
      <c r="S14" s="134">
        <v>4</v>
      </c>
      <c r="T14" s="203">
        <v>-1.4</v>
      </c>
      <c r="U14" s="156">
        <f>1*(21-T14)/(21+36)</f>
        <v>0.3929824561403509</v>
      </c>
      <c r="V14" s="196">
        <f t="shared" si="7"/>
        <v>0.47369470495111216</v>
      </c>
      <c r="W14" s="194">
        <f t="shared" si="8"/>
        <v>64.86906645975655</v>
      </c>
      <c r="X14" s="195">
        <f>T14+(21-T14)*(70-T14)/(W14-T14)</f>
        <v>22.734337262337156</v>
      </c>
      <c r="Y14" s="134">
        <v>4</v>
      </c>
      <c r="Z14" s="202">
        <v>-6.7</v>
      </c>
      <c r="AA14" s="156">
        <f t="shared" si="9"/>
        <v>0.48596491228070177</v>
      </c>
      <c r="AB14" s="196">
        <f t="shared" si="10"/>
        <v>0.5614148948926232</v>
      </c>
      <c r="AC14" s="194">
        <f t="shared" si="11"/>
        <v>73.75070024642264</v>
      </c>
      <c r="AD14" s="195">
        <v>21</v>
      </c>
      <c r="AE14" s="134">
        <v>4</v>
      </c>
      <c r="AF14" s="203">
        <v>-6.8</v>
      </c>
      <c r="AG14" s="156">
        <f t="shared" si="12"/>
        <v>0.48771929824561405</v>
      </c>
      <c r="AH14" s="196">
        <f t="shared" si="13"/>
        <v>0.5630357252467882</v>
      </c>
      <c r="AI14" s="194">
        <f t="shared" si="14"/>
        <v>73.916170786888</v>
      </c>
      <c r="AJ14" s="195">
        <v>21</v>
      </c>
      <c r="AK14" s="83">
        <v>4</v>
      </c>
      <c r="AL14" s="204">
        <v>-6.1</v>
      </c>
      <c r="AM14" s="108">
        <f t="shared" si="15"/>
        <v>0.4754385964912281</v>
      </c>
      <c r="AN14" s="19">
        <f t="shared" si="16"/>
        <v>0.5516651484158712</v>
      </c>
      <c r="AO14" s="109">
        <f t="shared" si="17"/>
        <v>72.75635399599713</v>
      </c>
      <c r="AP14" s="173">
        <v>21</v>
      </c>
      <c r="AQ14" s="83">
        <v>4</v>
      </c>
      <c r="AR14" s="160">
        <v>9.7</v>
      </c>
      <c r="AS14" s="108">
        <f t="shared" si="18"/>
        <v>0.19824561403508772</v>
      </c>
      <c r="AT14" s="19">
        <f t="shared" si="19"/>
        <v>0.274007764968916</v>
      </c>
      <c r="AU14" s="109">
        <f t="shared" si="20"/>
        <v>45.28568807190412</v>
      </c>
      <c r="AV14" s="173">
        <f t="shared" si="21"/>
        <v>28.84786637322256</v>
      </c>
      <c r="AW14" s="83">
        <v>4</v>
      </c>
      <c r="AX14" s="160"/>
      <c r="AY14" s="108"/>
      <c r="AZ14" s="19"/>
      <c r="BA14" s="109"/>
      <c r="BB14" s="173"/>
    </row>
    <row r="15" spans="1:54" ht="14.25" customHeight="1">
      <c r="A15" s="83">
        <v>5</v>
      </c>
      <c r="B15" s="18"/>
      <c r="C15" s="19"/>
      <c r="D15" s="19"/>
      <c r="E15" s="20"/>
      <c r="F15" s="85"/>
      <c r="G15" s="83">
        <v>5</v>
      </c>
      <c r="H15" s="202">
        <v>0.2</v>
      </c>
      <c r="I15" s="156">
        <f t="shared" si="22"/>
        <v>0.3649122807017544</v>
      </c>
      <c r="J15" s="196">
        <f aca="true" t="shared" si="23" ref="J15:J41">POWER(I15,0.8)</f>
        <v>0.44642733971827336</v>
      </c>
      <c r="K15" s="194">
        <f t="shared" si="0"/>
        <v>62.139491918989606</v>
      </c>
      <c r="L15" s="195">
        <f t="shared" si="1"/>
        <v>23.639649810154324</v>
      </c>
      <c r="M15" s="134">
        <v>5</v>
      </c>
      <c r="N15" s="203">
        <v>-3.2</v>
      </c>
      <c r="O15" s="156">
        <f t="shared" si="2"/>
        <v>0.4245614035087719</v>
      </c>
      <c r="P15" s="196">
        <f t="shared" si="3"/>
        <v>0.5039093401542671</v>
      </c>
      <c r="Q15" s="194">
        <f t="shared" si="4"/>
        <v>67.91147705106637</v>
      </c>
      <c r="R15" s="195">
        <f t="shared" si="5"/>
        <v>21.710746808534136</v>
      </c>
      <c r="S15" s="134">
        <v>5</v>
      </c>
      <c r="T15" s="203">
        <v>-1.5</v>
      </c>
      <c r="U15" s="156">
        <f>1*(21-T15)/(21+36)</f>
        <v>0.39473684210526316</v>
      </c>
      <c r="V15" s="196">
        <f>POWER(U15,0.8)</f>
        <v>0.47538571784683586</v>
      </c>
      <c r="W15" s="194">
        <f>21+(120-0.5*95-0.5*70)*U15+0.5*(95+70-2*21)*V15</f>
        <v>65.03885322652778</v>
      </c>
      <c r="X15" s="195">
        <f>T15+(21-T15)*(70-T15)/(W15-T15)</f>
        <v>22.67760333985771</v>
      </c>
      <c r="Y15" s="134">
        <v>5</v>
      </c>
      <c r="Z15" s="202">
        <v>-14.1</v>
      </c>
      <c r="AA15" s="156">
        <f t="shared" si="9"/>
        <v>0.6157894736842106</v>
      </c>
      <c r="AB15" s="196">
        <f t="shared" si="10"/>
        <v>0.6784936830702603</v>
      </c>
      <c r="AC15" s="194">
        <f t="shared" si="11"/>
        <v>85.81946677197891</v>
      </c>
      <c r="AD15" s="195">
        <v>21</v>
      </c>
      <c r="AE15" s="134">
        <v>5</v>
      </c>
      <c r="AF15" s="203">
        <v>-7.3</v>
      </c>
      <c r="AG15" s="156">
        <f t="shared" si="12"/>
        <v>0.4964912280701754</v>
      </c>
      <c r="AH15" s="196">
        <f t="shared" si="13"/>
        <v>0.5711224919388628</v>
      </c>
      <c r="AI15" s="194">
        <f t="shared" si="14"/>
        <v>74.74245430687164</v>
      </c>
      <c r="AJ15" s="195">
        <v>21</v>
      </c>
      <c r="AK15" s="83">
        <v>5</v>
      </c>
      <c r="AL15" s="204">
        <v>-2.1</v>
      </c>
      <c r="AM15" s="108">
        <f t="shared" si="15"/>
        <v>0.4052631578947369</v>
      </c>
      <c r="AN15" s="19">
        <f t="shared" si="16"/>
        <v>0.4855005199733592</v>
      </c>
      <c r="AO15" s="109">
        <f t="shared" si="17"/>
        <v>66.05565039941422</v>
      </c>
      <c r="AP15" s="110">
        <v>21.93862468769623</v>
      </c>
      <c r="AQ15" s="83">
        <v>5</v>
      </c>
      <c r="AR15" s="160">
        <v>9.2</v>
      </c>
      <c r="AS15" s="108">
        <f t="shared" si="18"/>
        <v>0.20701754385964913</v>
      </c>
      <c r="AT15" s="19">
        <f t="shared" si="19"/>
        <v>0.2836649788511996</v>
      </c>
      <c r="AU15" s="109">
        <f t="shared" si="20"/>
        <v>46.20855409408562</v>
      </c>
      <c r="AV15" s="173">
        <f t="shared" si="21"/>
        <v>28.585788436264654</v>
      </c>
      <c r="AW15" s="83">
        <v>5</v>
      </c>
      <c r="AX15" s="160"/>
      <c r="AY15" s="108"/>
      <c r="AZ15" s="19"/>
      <c r="BA15" s="109"/>
      <c r="BB15" s="173"/>
    </row>
    <row r="16" spans="1:54" ht="15.75">
      <c r="A16" s="83">
        <v>6</v>
      </c>
      <c r="B16" s="18"/>
      <c r="C16" s="19"/>
      <c r="D16" s="19"/>
      <c r="E16" s="20"/>
      <c r="F16" s="85"/>
      <c r="G16" s="83">
        <v>6</v>
      </c>
      <c r="H16" s="202">
        <v>1.7</v>
      </c>
      <c r="I16" s="156">
        <f t="shared" si="22"/>
        <v>0.3385964912280702</v>
      </c>
      <c r="J16" s="196">
        <f t="shared" si="23"/>
        <v>0.42048059943123967</v>
      </c>
      <c r="K16" s="194">
        <f t="shared" si="0"/>
        <v>59.55692528607387</v>
      </c>
      <c r="L16" s="195">
        <f t="shared" si="1"/>
        <v>24.483616541705295</v>
      </c>
      <c r="M16" s="134">
        <v>6</v>
      </c>
      <c r="N16" s="203">
        <v>-0.2</v>
      </c>
      <c r="O16" s="156">
        <f t="shared" si="2"/>
        <v>0.3719298245614035</v>
      </c>
      <c r="P16" s="196">
        <f t="shared" si="3"/>
        <v>0.4532823452653028</v>
      </c>
      <c r="Q16" s="194">
        <f t="shared" si="4"/>
        <v>62.82423265486875</v>
      </c>
      <c r="R16" s="195">
        <f t="shared" si="5"/>
        <v>23.413774215226884</v>
      </c>
      <c r="S16" s="134">
        <v>6</v>
      </c>
      <c r="T16" s="203">
        <v>-6.2</v>
      </c>
      <c r="U16" s="156">
        <f>1*(21-T16)/(21+36)</f>
        <v>0.47719298245614034</v>
      </c>
      <c r="V16" s="196">
        <f t="shared" si="7"/>
        <v>0.55329308017026</v>
      </c>
      <c r="W16" s="194">
        <f>21+(120-0.5*95-0.5*70)*U16+0.5*(95+70-2*21)*V16</f>
        <v>72.92226127257625</v>
      </c>
      <c r="X16" s="195">
        <v>21</v>
      </c>
      <c r="Y16" s="134">
        <v>6</v>
      </c>
      <c r="Z16" s="202">
        <v>-6.9</v>
      </c>
      <c r="AA16" s="156">
        <f t="shared" si="9"/>
        <v>0.4894736842105263</v>
      </c>
      <c r="AB16" s="196">
        <f t="shared" si="10"/>
        <v>0.5646553899525334</v>
      </c>
      <c r="AC16" s="194">
        <f t="shared" si="11"/>
        <v>74.08156963997554</v>
      </c>
      <c r="AD16" s="195">
        <v>21</v>
      </c>
      <c r="AE16" s="134">
        <v>6</v>
      </c>
      <c r="AF16" s="203">
        <v>-7.4</v>
      </c>
      <c r="AG16" s="156">
        <f t="shared" si="12"/>
        <v>0.4982456140350877</v>
      </c>
      <c r="AH16" s="196">
        <f t="shared" si="13"/>
        <v>0.5727364027984014</v>
      </c>
      <c r="AI16" s="194">
        <f t="shared" si="14"/>
        <v>74.90749929841748</v>
      </c>
      <c r="AJ16" s="195">
        <v>21</v>
      </c>
      <c r="AK16" s="83">
        <v>6</v>
      </c>
      <c r="AL16" s="204">
        <v>1.4</v>
      </c>
      <c r="AM16" s="108">
        <f t="shared" si="15"/>
        <v>0.34385964912280703</v>
      </c>
      <c r="AN16" s="19">
        <f t="shared" si="16"/>
        <v>0.4257012962029483</v>
      </c>
      <c r="AO16" s="109">
        <f t="shared" si="17"/>
        <v>60.07536655858658</v>
      </c>
      <c r="AP16" s="110">
        <v>21.93862468769623</v>
      </c>
      <c r="AQ16" s="83">
        <v>6</v>
      </c>
      <c r="AR16" s="160">
        <v>2.8</v>
      </c>
      <c r="AS16" s="108">
        <f t="shared" si="18"/>
        <v>0.3192982456140351</v>
      </c>
      <c r="AT16" s="19">
        <f t="shared" si="19"/>
        <v>0.4011965833523862</v>
      </c>
      <c r="AU16" s="109">
        <f t="shared" si="20"/>
        <v>57.64727408669807</v>
      </c>
      <c r="AV16" s="173">
        <f t="shared" si="21"/>
        <v>25.099011580169304</v>
      </c>
      <c r="AW16" s="83">
        <v>6</v>
      </c>
      <c r="AX16" s="160"/>
      <c r="AY16" s="108"/>
      <c r="AZ16" s="19"/>
      <c r="BA16" s="109"/>
      <c r="BB16" s="173"/>
    </row>
    <row r="17" spans="1:54" ht="15" customHeight="1">
      <c r="A17" s="83">
        <v>7</v>
      </c>
      <c r="B17" s="18"/>
      <c r="C17" s="19"/>
      <c r="D17" s="19"/>
      <c r="E17" s="20"/>
      <c r="F17" s="85"/>
      <c r="G17" s="83">
        <v>7</v>
      </c>
      <c r="H17" s="202">
        <v>5</v>
      </c>
      <c r="I17" s="156">
        <f t="shared" si="22"/>
        <v>0.2807017543859649</v>
      </c>
      <c r="J17" s="196">
        <f t="shared" si="23"/>
        <v>0.3619062652440962</v>
      </c>
      <c r="K17" s="194">
        <f t="shared" si="0"/>
        <v>53.7835511019856</v>
      </c>
      <c r="L17" s="195">
        <f t="shared" si="1"/>
        <v>26.318661239437112</v>
      </c>
      <c r="M17" s="134">
        <v>7</v>
      </c>
      <c r="N17" s="203">
        <v>1.1</v>
      </c>
      <c r="O17" s="156">
        <f t="shared" si="2"/>
        <v>0.34912280701754383</v>
      </c>
      <c r="P17" s="196">
        <f t="shared" si="3"/>
        <v>0.4309060350023274</v>
      </c>
      <c r="Q17" s="194">
        <f t="shared" si="4"/>
        <v>60.59282641580103</v>
      </c>
      <c r="R17" s="195">
        <f t="shared" si="5"/>
        <v>24.146644151971902</v>
      </c>
      <c r="S17" s="134">
        <v>7</v>
      </c>
      <c r="T17" s="203">
        <v>-10.2</v>
      </c>
      <c r="U17" s="156">
        <f t="shared" si="6"/>
        <v>0.5473684210526316</v>
      </c>
      <c r="V17" s="196">
        <f t="shared" si="7"/>
        <v>0.6174812727839413</v>
      </c>
      <c r="W17" s="194">
        <f>21+(120-0.5*95-0.5*70)*U17+0.5*(95+70-2*21)*V17</f>
        <v>79.50141406568608</v>
      </c>
      <c r="X17" s="195">
        <v>21</v>
      </c>
      <c r="Y17" s="134">
        <v>7</v>
      </c>
      <c r="Z17" s="202">
        <v>-2.8</v>
      </c>
      <c r="AA17" s="156">
        <f t="shared" si="9"/>
        <v>0.41754385964912283</v>
      </c>
      <c r="AB17" s="196">
        <f t="shared" si="10"/>
        <v>0.4972349890060735</v>
      </c>
      <c r="AC17" s="194">
        <f t="shared" si="11"/>
        <v>67.23784656071562</v>
      </c>
      <c r="AD17" s="195">
        <f>Z17+(21-Z17)*(70-Z17)/(AC17-Z17)</f>
        <v>21.93862468769623</v>
      </c>
      <c r="AE17" s="134">
        <v>7</v>
      </c>
      <c r="AF17" s="203">
        <v>-8.8</v>
      </c>
      <c r="AG17" s="156">
        <f t="shared" si="12"/>
        <v>0.5228070175438596</v>
      </c>
      <c r="AH17" s="196">
        <f t="shared" si="13"/>
        <v>0.5952139849862935</v>
      </c>
      <c r="AI17" s="194">
        <f t="shared" si="14"/>
        <v>77.21092323455179</v>
      </c>
      <c r="AJ17" s="195">
        <v>21</v>
      </c>
      <c r="AK17" s="83">
        <v>7</v>
      </c>
      <c r="AL17" s="204">
        <v>-9.4</v>
      </c>
      <c r="AM17" s="108">
        <f t="shared" si="15"/>
        <v>0.5333333333333333</v>
      </c>
      <c r="AN17" s="19">
        <f t="shared" si="16"/>
        <v>0.6047821747376144</v>
      </c>
      <c r="AO17" s="109">
        <f t="shared" si="17"/>
        <v>78.19410374636328</v>
      </c>
      <c r="AP17" s="110">
        <v>21</v>
      </c>
      <c r="AQ17" s="83">
        <v>7</v>
      </c>
      <c r="AR17" s="160">
        <v>3</v>
      </c>
      <c r="AS17" s="108">
        <f t="shared" si="18"/>
        <v>0.3157894736842105</v>
      </c>
      <c r="AT17" s="19">
        <f t="shared" si="19"/>
        <v>0.39766568745411734</v>
      </c>
      <c r="AU17" s="109">
        <f t="shared" si="20"/>
        <v>57.29854504158611</v>
      </c>
      <c r="AV17" s="173">
        <f t="shared" si="21"/>
        <v>25.210539878671703</v>
      </c>
      <c r="AW17" s="83">
        <v>7</v>
      </c>
      <c r="AX17" s="160"/>
      <c r="AY17" s="108"/>
      <c r="AZ17" s="19"/>
      <c r="BA17" s="109"/>
      <c r="BB17" s="173"/>
    </row>
    <row r="18" spans="1:54" ht="15.75">
      <c r="A18" s="83">
        <v>8</v>
      </c>
      <c r="B18" s="18"/>
      <c r="C18" s="19"/>
      <c r="D18" s="19"/>
      <c r="E18" s="20"/>
      <c r="F18" s="85"/>
      <c r="G18" s="83">
        <v>8</v>
      </c>
      <c r="H18" s="202">
        <v>6.3</v>
      </c>
      <c r="I18" s="156">
        <f t="shared" si="22"/>
        <v>0.25789473684210523</v>
      </c>
      <c r="J18" s="196">
        <f t="shared" si="23"/>
        <v>0.33818472157765866</v>
      </c>
      <c r="K18" s="194">
        <f t="shared" si="0"/>
        <v>51.46941300860495</v>
      </c>
      <c r="L18" s="195">
        <f t="shared" si="1"/>
        <v>27.030621401292372</v>
      </c>
      <c r="M18" s="134">
        <v>8</v>
      </c>
      <c r="N18" s="203">
        <v>1.6</v>
      </c>
      <c r="O18" s="156">
        <f t="shared" si="2"/>
        <v>0.3403508771929824</v>
      </c>
      <c r="P18" s="196">
        <f t="shared" si="3"/>
        <v>0.42222262299222646</v>
      </c>
      <c r="Q18" s="194">
        <f t="shared" si="4"/>
        <v>59.729849208758765</v>
      </c>
      <c r="R18" s="195">
        <f t="shared" si="5"/>
        <v>24.427514918102684</v>
      </c>
      <c r="S18" s="134">
        <v>8</v>
      </c>
      <c r="T18" s="203">
        <v>-17.2</v>
      </c>
      <c r="U18" s="156">
        <f t="shared" si="6"/>
        <v>0.6701754385964913</v>
      </c>
      <c r="V18" s="196">
        <f t="shared" si="7"/>
        <v>0.7260237132749439</v>
      </c>
      <c r="W18" s="194">
        <f>21+(120-0.5*95-0.5*70)*U18+0.5*(95+70-2*21)*V18</f>
        <v>90.78203731377747</v>
      </c>
      <c r="X18" s="195">
        <v>21</v>
      </c>
      <c r="Y18" s="134">
        <v>8</v>
      </c>
      <c r="Z18" s="202">
        <v>0.3</v>
      </c>
      <c r="AA18" s="156">
        <f t="shared" si="9"/>
        <v>0.36315789473684207</v>
      </c>
      <c r="AB18" s="196">
        <f t="shared" si="10"/>
        <v>0.44470948440254665</v>
      </c>
      <c r="AC18" s="194">
        <f t="shared" si="11"/>
        <v>61.96805434338819</v>
      </c>
      <c r="AD18" s="195">
        <f>Z18+(21-Z18)*(70-Z18)/(AC18-Z18)</f>
        <v>23.696068116014597</v>
      </c>
      <c r="AE18" s="134">
        <v>8</v>
      </c>
      <c r="AF18" s="203">
        <v>-6.9</v>
      </c>
      <c r="AG18" s="156">
        <f t="shared" si="12"/>
        <v>0.4894736842105263</v>
      </c>
      <c r="AH18" s="196">
        <f t="shared" si="13"/>
        <v>0.5646553899525334</v>
      </c>
      <c r="AI18" s="194">
        <f t="shared" si="14"/>
        <v>74.08156963997554</v>
      </c>
      <c r="AJ18" s="195">
        <v>21</v>
      </c>
      <c r="AK18" s="83">
        <v>8</v>
      </c>
      <c r="AL18" s="204">
        <v>-14.7</v>
      </c>
      <c r="AM18" s="108">
        <f t="shared" si="15"/>
        <v>0.6263157894736843</v>
      </c>
      <c r="AN18" s="19">
        <f t="shared" si="16"/>
        <v>0.6877564758420455</v>
      </c>
      <c r="AO18" s="109">
        <f t="shared" si="17"/>
        <v>86.78386536954896</v>
      </c>
      <c r="AP18" s="110">
        <v>21</v>
      </c>
      <c r="AQ18" s="83">
        <v>8</v>
      </c>
      <c r="AR18" s="160">
        <v>4.4</v>
      </c>
      <c r="AS18" s="108">
        <f t="shared" si="18"/>
        <v>0.2912280701754386</v>
      </c>
      <c r="AT18" s="19">
        <f t="shared" si="19"/>
        <v>0.3727233371619515</v>
      </c>
      <c r="AU18" s="109">
        <f t="shared" si="20"/>
        <v>54.84353786703896</v>
      </c>
      <c r="AV18" s="173">
        <f t="shared" si="21"/>
        <v>25.987700745144465</v>
      </c>
      <c r="AW18" s="83">
        <v>8</v>
      </c>
      <c r="AX18" s="160"/>
      <c r="AY18" s="108"/>
      <c r="AZ18" s="19"/>
      <c r="BA18" s="109"/>
      <c r="BB18" s="173"/>
    </row>
    <row r="19" spans="1:54" ht="15.75">
      <c r="A19" s="83">
        <v>9</v>
      </c>
      <c r="B19" s="18"/>
      <c r="C19" s="19"/>
      <c r="D19" s="19"/>
      <c r="E19" s="20"/>
      <c r="F19" s="85"/>
      <c r="G19" s="83">
        <v>9</v>
      </c>
      <c r="H19" s="202">
        <v>6.3</v>
      </c>
      <c r="I19" s="156">
        <f t="shared" si="22"/>
        <v>0.25789473684210523</v>
      </c>
      <c r="J19" s="196">
        <f t="shared" si="23"/>
        <v>0.33818472157765866</v>
      </c>
      <c r="K19" s="194">
        <f t="shared" si="0"/>
        <v>51.46941300860495</v>
      </c>
      <c r="L19" s="195">
        <f t="shared" si="1"/>
        <v>27.030621401292372</v>
      </c>
      <c r="M19" s="134">
        <v>9</v>
      </c>
      <c r="N19" s="203">
        <v>1</v>
      </c>
      <c r="O19" s="156">
        <f t="shared" si="2"/>
        <v>0.3508771929824561</v>
      </c>
      <c r="P19" s="196">
        <f t="shared" si="3"/>
        <v>0.4326374518198345</v>
      </c>
      <c r="Q19" s="194">
        <f t="shared" si="4"/>
        <v>60.76509802376192</v>
      </c>
      <c r="R19" s="195">
        <f t="shared" si="5"/>
        <v>24.09039967526411</v>
      </c>
      <c r="S19" s="134">
        <v>9</v>
      </c>
      <c r="T19" s="203">
        <v>-14.3</v>
      </c>
      <c r="U19" s="156">
        <f t="shared" si="6"/>
        <v>0.619298245614035</v>
      </c>
      <c r="V19" s="196">
        <f t="shared" si="7"/>
        <v>0.681584773465178</v>
      </c>
      <c r="W19" s="194">
        <f t="shared" si="8"/>
        <v>86.14114777863476</v>
      </c>
      <c r="X19" s="195">
        <v>21</v>
      </c>
      <c r="Y19" s="134">
        <v>9</v>
      </c>
      <c r="Z19" s="202">
        <v>-7.5</v>
      </c>
      <c r="AA19" s="156">
        <f t="shared" si="9"/>
        <v>0.5</v>
      </c>
      <c r="AB19" s="196">
        <f t="shared" si="10"/>
        <v>0.5743491774985175</v>
      </c>
      <c r="AC19" s="194">
        <f t="shared" si="11"/>
        <v>75.07247441615883</v>
      </c>
      <c r="AD19" s="195">
        <v>21</v>
      </c>
      <c r="AE19" s="134">
        <v>9</v>
      </c>
      <c r="AF19" s="203">
        <v>-11</v>
      </c>
      <c r="AG19" s="156">
        <f t="shared" si="12"/>
        <v>0.5614035087719298</v>
      </c>
      <c r="AH19" s="196">
        <f t="shared" si="13"/>
        <v>0.630115406137289</v>
      </c>
      <c r="AI19" s="194">
        <f t="shared" si="14"/>
        <v>80.80472905639064</v>
      </c>
      <c r="AJ19" s="195">
        <v>21</v>
      </c>
      <c r="AK19" s="83">
        <v>9</v>
      </c>
      <c r="AL19" s="204">
        <v>-14</v>
      </c>
      <c r="AM19" s="108">
        <f t="shared" si="15"/>
        <v>0.6140350877192983</v>
      </c>
      <c r="AN19" s="19">
        <f t="shared" si="16"/>
        <v>0.6769468176417747</v>
      </c>
      <c r="AO19" s="109">
        <f t="shared" si="17"/>
        <v>85.65854507444283</v>
      </c>
      <c r="AP19" s="110">
        <v>21</v>
      </c>
      <c r="AQ19" s="83">
        <v>9</v>
      </c>
      <c r="AR19" s="160">
        <v>3.9</v>
      </c>
      <c r="AS19" s="108">
        <f t="shared" si="18"/>
        <v>0.30000000000000004</v>
      </c>
      <c r="AT19" s="19">
        <f t="shared" si="19"/>
        <v>0.38167789096181765</v>
      </c>
      <c r="AU19" s="109">
        <f t="shared" si="20"/>
        <v>55.723190294151784</v>
      </c>
      <c r="AV19" s="173">
        <f t="shared" si="21"/>
        <v>25.71089187262087</v>
      </c>
      <c r="AW19" s="83">
        <v>9</v>
      </c>
      <c r="AX19" s="160"/>
      <c r="AY19" s="108"/>
      <c r="AZ19" s="19"/>
      <c r="BA19" s="109"/>
      <c r="BB19" s="173"/>
    </row>
    <row r="20" spans="1:54" ht="15.75" customHeight="1">
      <c r="A20" s="83">
        <v>10</v>
      </c>
      <c r="B20" s="18"/>
      <c r="C20" s="19"/>
      <c r="D20" s="19"/>
      <c r="E20" s="20"/>
      <c r="F20" s="85"/>
      <c r="G20" s="83">
        <v>10</v>
      </c>
      <c r="H20" s="202">
        <v>4.2</v>
      </c>
      <c r="I20" s="156">
        <f t="shared" si="22"/>
        <v>0.2947368421052632</v>
      </c>
      <c r="J20" s="196">
        <f t="shared" si="23"/>
        <v>0.3763115436471007</v>
      </c>
      <c r="K20" s="194">
        <f t="shared" si="0"/>
        <v>55.19579151324406</v>
      </c>
      <c r="L20" s="195">
        <f t="shared" si="1"/>
        <v>25.87708289639759</v>
      </c>
      <c r="M20" s="134">
        <v>10</v>
      </c>
      <c r="N20" s="203">
        <v>2.3</v>
      </c>
      <c r="O20" s="156">
        <f t="shared" si="2"/>
        <v>0.32807017543859646</v>
      </c>
      <c r="P20" s="196">
        <f t="shared" si="3"/>
        <v>0.40999012900170323</v>
      </c>
      <c r="Q20" s="194">
        <f t="shared" si="4"/>
        <v>58.51702451255212</v>
      </c>
      <c r="R20" s="195">
        <f t="shared" si="5"/>
        <v>24.81969062712186</v>
      </c>
      <c r="S20" s="134">
        <v>10</v>
      </c>
      <c r="T20" s="203">
        <v>-7.8</v>
      </c>
      <c r="U20" s="156">
        <f t="shared" si="6"/>
        <v>0.5052631578947369</v>
      </c>
      <c r="V20" s="196">
        <f t="shared" si="7"/>
        <v>0.5791807322805789</v>
      </c>
      <c r="W20" s="194">
        <f>21+(120-0.5*95-0.5*70)*U20+0.5*(95+70-2*21)*V20</f>
        <v>75.56698345630824</v>
      </c>
      <c r="X20" s="195">
        <v>21</v>
      </c>
      <c r="Y20" s="134">
        <v>10</v>
      </c>
      <c r="Z20" s="202">
        <v>-15</v>
      </c>
      <c r="AA20" s="156">
        <f t="shared" si="9"/>
        <v>0.631578947368421</v>
      </c>
      <c r="AB20" s="196">
        <f t="shared" si="10"/>
        <v>0.6923761764334446</v>
      </c>
      <c r="AC20" s="194">
        <f t="shared" si="11"/>
        <v>87.26534537697263</v>
      </c>
      <c r="AD20" s="195">
        <v>21</v>
      </c>
      <c r="AE20" s="134">
        <v>10</v>
      </c>
      <c r="AF20" s="203">
        <v>-15.3</v>
      </c>
      <c r="AG20" s="156">
        <f t="shared" si="12"/>
        <v>0.6368421052631579</v>
      </c>
      <c r="AH20" s="196">
        <f t="shared" si="13"/>
        <v>0.6969881838386802</v>
      </c>
      <c r="AI20" s="194">
        <f t="shared" si="14"/>
        <v>87.74635225344726</v>
      </c>
      <c r="AJ20" s="195">
        <v>21</v>
      </c>
      <c r="AK20" s="83">
        <v>10</v>
      </c>
      <c r="AL20" s="204">
        <v>-14.6</v>
      </c>
      <c r="AM20" s="108">
        <f t="shared" si="15"/>
        <v>0.624561403508772</v>
      </c>
      <c r="AN20" s="19">
        <f t="shared" si="16"/>
        <v>0.6862148526691579</v>
      </c>
      <c r="AO20" s="109">
        <f t="shared" si="17"/>
        <v>86.62326607073216</v>
      </c>
      <c r="AP20" s="110">
        <v>21</v>
      </c>
      <c r="AQ20" s="83">
        <v>10</v>
      </c>
      <c r="AR20" s="160">
        <v>6.6</v>
      </c>
      <c r="AS20" s="108">
        <f t="shared" si="18"/>
        <v>0.25263157894736843</v>
      </c>
      <c r="AT20" s="19">
        <f t="shared" si="19"/>
        <v>0.3326519772083395</v>
      </c>
      <c r="AU20" s="109">
        <f t="shared" si="20"/>
        <v>50.93178080883919</v>
      </c>
      <c r="AV20" s="173">
        <f t="shared" si="21"/>
        <v>27.193803888382654</v>
      </c>
      <c r="AW20" s="83">
        <v>10</v>
      </c>
      <c r="AX20" s="160"/>
      <c r="AY20" s="108"/>
      <c r="AZ20" s="19"/>
      <c r="BA20" s="109"/>
      <c r="BB20" s="173"/>
    </row>
    <row r="21" spans="1:54" ht="15" customHeight="1">
      <c r="A21" s="83">
        <v>11</v>
      </c>
      <c r="B21" s="18"/>
      <c r="C21" s="19"/>
      <c r="D21" s="19"/>
      <c r="E21" s="20"/>
      <c r="F21" s="85"/>
      <c r="G21" s="83">
        <v>11</v>
      </c>
      <c r="H21" s="202">
        <v>1.4</v>
      </c>
      <c r="I21" s="156">
        <f t="shared" si="22"/>
        <v>0.34385964912280703</v>
      </c>
      <c r="J21" s="196">
        <f t="shared" si="23"/>
        <v>0.4257012962029483</v>
      </c>
      <c r="K21" s="194">
        <f t="shared" si="0"/>
        <v>60.07536655858658</v>
      </c>
      <c r="L21" s="195">
        <f t="shared" si="1"/>
        <v>24.315238180190565</v>
      </c>
      <c r="M21" s="134">
        <v>11</v>
      </c>
      <c r="N21" s="203">
        <v>0.7</v>
      </c>
      <c r="O21" s="156">
        <f t="shared" si="2"/>
        <v>0.356140350877193</v>
      </c>
      <c r="P21" s="196">
        <f t="shared" si="3"/>
        <v>0.43782136011056677</v>
      </c>
      <c r="Q21" s="194">
        <f t="shared" si="4"/>
        <v>61.2812768046946</v>
      </c>
      <c r="R21" s="195">
        <f t="shared" si="5"/>
        <v>23.921531043911312</v>
      </c>
      <c r="S21" s="134">
        <v>11</v>
      </c>
      <c r="T21" s="203">
        <v>-7.9</v>
      </c>
      <c r="U21" s="156">
        <f t="shared" si="6"/>
        <v>0.5070175438596491</v>
      </c>
      <c r="V21" s="196">
        <f t="shared" si="7"/>
        <v>0.5807890097990208</v>
      </c>
      <c r="W21" s="194">
        <f t="shared" si="8"/>
        <v>75.73168199737663</v>
      </c>
      <c r="X21" s="195">
        <v>21</v>
      </c>
      <c r="Y21" s="134">
        <v>11</v>
      </c>
      <c r="Z21" s="202">
        <v>-13.7</v>
      </c>
      <c r="AA21" s="156">
        <f t="shared" si="9"/>
        <v>0.6087719298245614</v>
      </c>
      <c r="AB21" s="196">
        <f t="shared" si="10"/>
        <v>0.672300904110829</v>
      </c>
      <c r="AC21" s="194">
        <f t="shared" si="11"/>
        <v>85.17545297123704</v>
      </c>
      <c r="AD21" s="195">
        <v>21</v>
      </c>
      <c r="AE21" s="134">
        <v>11</v>
      </c>
      <c r="AF21" s="203">
        <v>-17.7</v>
      </c>
      <c r="AG21" s="156">
        <f t="shared" si="12"/>
        <v>0.6789473684210526</v>
      </c>
      <c r="AH21" s="196">
        <f t="shared" si="13"/>
        <v>0.7336161568382062</v>
      </c>
      <c r="AI21" s="194">
        <f t="shared" si="14"/>
        <v>91.57791996133915</v>
      </c>
      <c r="AJ21" s="195">
        <v>21</v>
      </c>
      <c r="AK21" s="83">
        <v>11</v>
      </c>
      <c r="AL21" s="204">
        <v>-16.6</v>
      </c>
      <c r="AM21" s="108">
        <f t="shared" si="15"/>
        <v>0.6596491228070176</v>
      </c>
      <c r="AN21" s="19">
        <f t="shared" si="16"/>
        <v>0.7168864823846006</v>
      </c>
      <c r="AO21" s="109">
        <f t="shared" si="17"/>
        <v>89.82536077191611</v>
      </c>
      <c r="AP21" s="110">
        <v>21</v>
      </c>
      <c r="AQ21" s="83">
        <v>11</v>
      </c>
      <c r="AR21" s="160">
        <v>7.9</v>
      </c>
      <c r="AS21" s="108">
        <f t="shared" si="18"/>
        <v>0.22982456140350876</v>
      </c>
      <c r="AT21" s="19">
        <f t="shared" si="19"/>
        <v>0.30840197598403685</v>
      </c>
      <c r="AU21" s="109">
        <f t="shared" si="20"/>
        <v>48.58514257564984</v>
      </c>
      <c r="AV21" s="173">
        <f t="shared" si="21"/>
        <v>27.89525990322786</v>
      </c>
      <c r="AW21" s="83">
        <v>11</v>
      </c>
      <c r="AX21" s="160"/>
      <c r="AY21" s="108"/>
      <c r="AZ21" s="19"/>
      <c r="BA21" s="109"/>
      <c r="BB21" s="173"/>
    </row>
    <row r="22" spans="1:54" ht="15.75">
      <c r="A22" s="83">
        <v>12</v>
      </c>
      <c r="B22" s="18"/>
      <c r="C22" s="19"/>
      <c r="D22" s="19"/>
      <c r="E22" s="20"/>
      <c r="F22" s="85"/>
      <c r="G22" s="83">
        <v>12</v>
      </c>
      <c r="H22" s="202">
        <v>3.8</v>
      </c>
      <c r="I22" s="156">
        <f t="shared" si="22"/>
        <v>0.3017543859649123</v>
      </c>
      <c r="J22" s="196">
        <f t="shared" si="23"/>
        <v>0.38346247673003786</v>
      </c>
      <c r="K22" s="194">
        <f t="shared" si="0"/>
        <v>55.89873179258154</v>
      </c>
      <c r="L22" s="195">
        <f t="shared" si="1"/>
        <v>25.6554264340487</v>
      </c>
      <c r="M22" s="134">
        <v>12</v>
      </c>
      <c r="N22" s="203">
        <v>-3.3</v>
      </c>
      <c r="O22" s="156">
        <f t="shared" si="2"/>
        <v>0.4263157894736842</v>
      </c>
      <c r="P22" s="196">
        <f t="shared" si="3"/>
        <v>0.5055744689362536</v>
      </c>
      <c r="Q22" s="194">
        <f t="shared" si="4"/>
        <v>68.07967194484274</v>
      </c>
      <c r="R22" s="195">
        <f t="shared" si="5"/>
        <v>21.653743152201372</v>
      </c>
      <c r="S22" s="134">
        <v>12</v>
      </c>
      <c r="T22" s="203">
        <v>-14.2</v>
      </c>
      <c r="U22" s="156">
        <f t="shared" si="6"/>
        <v>0.6175438596491228</v>
      </c>
      <c r="V22" s="196">
        <f t="shared" si="7"/>
        <v>0.6800396673436973</v>
      </c>
      <c r="W22" s="194">
        <f t="shared" si="8"/>
        <v>85.98033427847949</v>
      </c>
      <c r="X22" s="195">
        <v>21</v>
      </c>
      <c r="Y22" s="134">
        <v>12</v>
      </c>
      <c r="Z22" s="202">
        <v>-11.7</v>
      </c>
      <c r="AA22" s="156">
        <f t="shared" si="9"/>
        <v>0.5736842105263158</v>
      </c>
      <c r="AB22" s="196">
        <f t="shared" si="10"/>
        <v>0.6411185126989987</v>
      </c>
      <c r="AC22" s="194">
        <f t="shared" si="11"/>
        <v>81.94194642572526</v>
      </c>
      <c r="AD22" s="195">
        <v>21</v>
      </c>
      <c r="AE22" s="134">
        <v>12</v>
      </c>
      <c r="AF22" s="203">
        <v>-12.8</v>
      </c>
      <c r="AG22" s="156">
        <f t="shared" si="12"/>
        <v>0.5929824561403508</v>
      </c>
      <c r="AH22" s="196">
        <f t="shared" si="13"/>
        <v>0.6583145829757452</v>
      </c>
      <c r="AI22" s="194">
        <f t="shared" si="14"/>
        <v>83.72318895827149</v>
      </c>
      <c r="AJ22" s="195">
        <v>21</v>
      </c>
      <c r="AK22" s="83">
        <v>12</v>
      </c>
      <c r="AL22" s="204">
        <v>-15.7</v>
      </c>
      <c r="AM22" s="108">
        <f t="shared" si="15"/>
        <v>0.643859649122807</v>
      </c>
      <c r="AN22" s="19">
        <f t="shared" si="16"/>
        <v>0.7031256914324637</v>
      </c>
      <c r="AO22" s="109">
        <f t="shared" si="17"/>
        <v>88.38696686520177</v>
      </c>
      <c r="AP22" s="110">
        <v>21</v>
      </c>
      <c r="AQ22" s="83">
        <v>12</v>
      </c>
      <c r="AR22" s="160">
        <v>9.3</v>
      </c>
      <c r="AS22" s="108">
        <f t="shared" si="18"/>
        <v>0.20526315789473684</v>
      </c>
      <c r="AT22" s="19">
        <f t="shared" si="19"/>
        <v>0.2817401911114361</v>
      </c>
      <c r="AU22" s="109">
        <f t="shared" si="20"/>
        <v>46.02439017440595</v>
      </c>
      <c r="AV22" s="173">
        <f t="shared" si="21"/>
        <v>28.638374214718674</v>
      </c>
      <c r="AW22" s="83">
        <v>12</v>
      </c>
      <c r="AX22" s="160"/>
      <c r="AY22" s="108"/>
      <c r="AZ22" s="19"/>
      <c r="BA22" s="109"/>
      <c r="BB22" s="173"/>
    </row>
    <row r="23" spans="1:54" ht="15.75">
      <c r="A23" s="83">
        <v>13</v>
      </c>
      <c r="B23" s="18"/>
      <c r="C23" s="19"/>
      <c r="D23" s="19"/>
      <c r="E23" s="20"/>
      <c r="F23" s="85"/>
      <c r="G23" s="83">
        <v>13</v>
      </c>
      <c r="H23" s="202">
        <v>7.7</v>
      </c>
      <c r="I23" s="156">
        <f t="shared" si="22"/>
        <v>0.23333333333333334</v>
      </c>
      <c r="J23" s="196">
        <f t="shared" si="23"/>
        <v>0.312163001751817</v>
      </c>
      <c r="K23" s="194">
        <f t="shared" si="0"/>
        <v>48.94802460773674</v>
      </c>
      <c r="L23" s="195">
        <f t="shared" si="1"/>
        <v>27.787992282776724</v>
      </c>
      <c r="M23" s="134">
        <v>13</v>
      </c>
      <c r="N23" s="203">
        <v>-2.2</v>
      </c>
      <c r="O23" s="156">
        <f t="shared" si="2"/>
        <v>0.4070175438596491</v>
      </c>
      <c r="P23" s="196">
        <f t="shared" si="3"/>
        <v>0.48718118043971603</v>
      </c>
      <c r="Q23" s="194">
        <f t="shared" si="4"/>
        <v>66.22480049177938</v>
      </c>
      <c r="R23" s="195">
        <f t="shared" si="5"/>
        <v>22.280012918725877</v>
      </c>
      <c r="S23" s="134">
        <v>13</v>
      </c>
      <c r="T23" s="203">
        <v>-14</v>
      </c>
      <c r="U23" s="156">
        <f t="shared" si="6"/>
        <v>0.6140350877192983</v>
      </c>
      <c r="V23" s="196">
        <f t="shared" si="7"/>
        <v>0.6769468176417747</v>
      </c>
      <c r="W23" s="194">
        <f t="shared" si="8"/>
        <v>85.65854507444283</v>
      </c>
      <c r="X23" s="195">
        <v>21</v>
      </c>
      <c r="Y23" s="134">
        <v>13</v>
      </c>
      <c r="Z23" s="202">
        <v>-20.8</v>
      </c>
      <c r="AA23" s="156">
        <f t="shared" si="9"/>
        <v>0.7333333333333333</v>
      </c>
      <c r="AB23" s="196">
        <f t="shared" si="10"/>
        <v>0.7802632293977279</v>
      </c>
      <c r="AC23" s="194">
        <f t="shared" si="11"/>
        <v>96.48618860796026</v>
      </c>
      <c r="AD23" s="195">
        <v>21</v>
      </c>
      <c r="AE23" s="134">
        <v>13</v>
      </c>
      <c r="AF23" s="203">
        <v>-15</v>
      </c>
      <c r="AG23" s="156">
        <f t="shared" si="12"/>
        <v>0.631578947368421</v>
      </c>
      <c r="AH23" s="196">
        <f t="shared" si="13"/>
        <v>0.6923761764334446</v>
      </c>
      <c r="AI23" s="194">
        <f t="shared" si="14"/>
        <v>87.26534537697263</v>
      </c>
      <c r="AJ23" s="195">
        <v>21</v>
      </c>
      <c r="AK23" s="83">
        <v>13</v>
      </c>
      <c r="AL23" s="205">
        <v>-12.8</v>
      </c>
      <c r="AM23" s="108">
        <f t="shared" si="15"/>
        <v>0.5929824561403508</v>
      </c>
      <c r="AN23" s="19">
        <f t="shared" si="16"/>
        <v>0.6583145829757452</v>
      </c>
      <c r="AO23" s="109">
        <f t="shared" si="17"/>
        <v>83.72318895827149</v>
      </c>
      <c r="AP23" s="110">
        <v>21</v>
      </c>
      <c r="AQ23" s="83">
        <v>13</v>
      </c>
      <c r="AR23" s="160">
        <v>12.1</v>
      </c>
      <c r="AS23" s="108">
        <f t="shared" si="18"/>
        <v>0.156140350877193</v>
      </c>
      <c r="AT23" s="19">
        <f t="shared" si="19"/>
        <v>0.22636648164670248</v>
      </c>
      <c r="AU23" s="109">
        <f t="shared" si="20"/>
        <v>40.77680177916694</v>
      </c>
      <c r="AV23" s="173">
        <f t="shared" si="21"/>
        <v>30.069577080745503</v>
      </c>
      <c r="AW23" s="83">
        <v>13</v>
      </c>
      <c r="AX23" s="160"/>
      <c r="AY23" s="108"/>
      <c r="AZ23" s="19"/>
      <c r="BA23" s="109"/>
      <c r="BB23" s="173"/>
    </row>
    <row r="24" spans="1:54" ht="15.75" customHeight="1">
      <c r="A24" s="83">
        <v>14</v>
      </c>
      <c r="B24" s="18"/>
      <c r="C24" s="19"/>
      <c r="D24" s="19"/>
      <c r="E24" s="20"/>
      <c r="F24" s="85"/>
      <c r="G24" s="83">
        <v>14</v>
      </c>
      <c r="H24" s="202">
        <v>6.5</v>
      </c>
      <c r="I24" s="156">
        <f t="shared" si="22"/>
        <v>0.2543859649122807</v>
      </c>
      <c r="J24" s="196">
        <f t="shared" si="23"/>
        <v>0.3344987639202315</v>
      </c>
      <c r="K24" s="194">
        <f t="shared" si="0"/>
        <v>51.11114766530476</v>
      </c>
      <c r="L24" s="195">
        <f t="shared" si="1"/>
        <v>27.13946004949097</v>
      </c>
      <c r="M24" s="134">
        <v>14</v>
      </c>
      <c r="N24" s="203">
        <v>-2.5</v>
      </c>
      <c r="O24" s="156">
        <f t="shared" si="2"/>
        <v>0.41228070175438597</v>
      </c>
      <c r="P24" s="196">
        <f t="shared" si="3"/>
        <v>0.49221450223577407</v>
      </c>
      <c r="Q24" s="194">
        <f t="shared" si="4"/>
        <v>66.73171820328957</v>
      </c>
      <c r="R24" s="195">
        <f t="shared" si="5"/>
        <v>22.109384892011036</v>
      </c>
      <c r="S24" s="134">
        <v>14</v>
      </c>
      <c r="T24" s="203">
        <v>-11.7</v>
      </c>
      <c r="U24" s="156">
        <f t="shared" si="6"/>
        <v>0.5736842105263158</v>
      </c>
      <c r="V24" s="196">
        <f t="shared" si="7"/>
        <v>0.6411185126989987</v>
      </c>
      <c r="W24" s="194">
        <f t="shared" si="8"/>
        <v>81.94194642572526</v>
      </c>
      <c r="X24" s="195">
        <v>21</v>
      </c>
      <c r="Y24" s="134">
        <v>14</v>
      </c>
      <c r="Z24" s="202">
        <v>-18.5</v>
      </c>
      <c r="AA24" s="156">
        <f t="shared" si="9"/>
        <v>0.6929824561403509</v>
      </c>
      <c r="AB24" s="196">
        <f t="shared" si="10"/>
        <v>0.7457234359970055</v>
      </c>
      <c r="AC24" s="194">
        <f t="shared" si="11"/>
        <v>92.848833419079</v>
      </c>
      <c r="AD24" s="195">
        <v>21</v>
      </c>
      <c r="AE24" s="134">
        <v>14</v>
      </c>
      <c r="AF24" s="203">
        <v>-14.5</v>
      </c>
      <c r="AG24" s="156">
        <f t="shared" si="12"/>
        <v>0.6228070175438597</v>
      </c>
      <c r="AH24" s="196">
        <f t="shared" si="13"/>
        <v>0.684672363171256</v>
      </c>
      <c r="AI24" s="194">
        <f t="shared" si="14"/>
        <v>86.46261349292698</v>
      </c>
      <c r="AJ24" s="195">
        <v>21</v>
      </c>
      <c r="AK24" s="83">
        <v>14</v>
      </c>
      <c r="AL24" s="204">
        <v>-10.9</v>
      </c>
      <c r="AM24" s="108">
        <f t="shared" si="15"/>
        <v>0.5596491228070175</v>
      </c>
      <c r="AN24" s="19">
        <f t="shared" si="16"/>
        <v>0.6285396247278778</v>
      </c>
      <c r="AO24" s="109">
        <f t="shared" si="17"/>
        <v>80.64202902602764</v>
      </c>
      <c r="AP24" s="110">
        <v>21</v>
      </c>
      <c r="AQ24" s="83">
        <v>14</v>
      </c>
      <c r="AR24" s="160">
        <v>14</v>
      </c>
      <c r="AS24" s="108">
        <f t="shared" si="18"/>
        <v>0.12280701754385964</v>
      </c>
      <c r="AT24" s="19">
        <f t="shared" si="19"/>
        <v>0.1868007207064265</v>
      </c>
      <c r="AU24" s="109">
        <f t="shared" si="20"/>
        <v>37.09350748133997</v>
      </c>
      <c r="AV24" s="173">
        <f t="shared" si="21"/>
        <v>30.974467837626836</v>
      </c>
      <c r="AW24" s="83">
        <v>14</v>
      </c>
      <c r="AX24" s="160"/>
      <c r="AY24" s="108"/>
      <c r="AZ24" s="19"/>
      <c r="BA24" s="109"/>
      <c r="BB24" s="173"/>
    </row>
    <row r="25" spans="1:54" ht="17.25" customHeight="1">
      <c r="A25" s="83">
        <v>15</v>
      </c>
      <c r="B25" s="18"/>
      <c r="C25" s="19"/>
      <c r="D25" s="19"/>
      <c r="E25" s="20"/>
      <c r="F25" s="85"/>
      <c r="G25" s="83">
        <v>15</v>
      </c>
      <c r="H25" s="202">
        <v>4.6</v>
      </c>
      <c r="I25" s="156">
        <f t="shared" si="22"/>
        <v>0.287719298245614</v>
      </c>
      <c r="J25" s="196">
        <f t="shared" si="23"/>
        <v>0.3691264737398687</v>
      </c>
      <c r="K25" s="194">
        <f t="shared" si="0"/>
        <v>54.49075181921245</v>
      </c>
      <c r="L25" s="195">
        <f t="shared" si="1"/>
        <v>26.098172725209714</v>
      </c>
      <c r="M25" s="134">
        <v>15</v>
      </c>
      <c r="N25" s="203">
        <v>-8.1</v>
      </c>
      <c r="O25" s="156">
        <f t="shared" si="2"/>
        <v>0.5105263157894737</v>
      </c>
      <c r="P25" s="196">
        <f t="shared" si="3"/>
        <v>0.5840022316015485</v>
      </c>
      <c r="Q25" s="194">
        <f t="shared" si="4"/>
        <v>76.06087408560049</v>
      </c>
      <c r="R25" s="195">
        <v>21</v>
      </c>
      <c r="S25" s="134">
        <v>15</v>
      </c>
      <c r="T25" s="203">
        <v>-6</v>
      </c>
      <c r="U25" s="156">
        <f t="shared" si="6"/>
        <v>0.47368421052631576</v>
      </c>
      <c r="V25" s="196">
        <f t="shared" si="7"/>
        <v>0.5500360147893926</v>
      </c>
      <c r="W25" s="194">
        <f t="shared" si="8"/>
        <v>72.59037280428448</v>
      </c>
      <c r="X25" s="195">
        <v>21</v>
      </c>
      <c r="Y25" s="134">
        <v>15</v>
      </c>
      <c r="Z25" s="202">
        <v>-8.6</v>
      </c>
      <c r="AA25" s="156">
        <f t="shared" si="9"/>
        <v>0.5192982456140351</v>
      </c>
      <c r="AB25" s="196">
        <f t="shared" si="10"/>
        <v>0.5920160546032364</v>
      </c>
      <c r="AC25" s="194">
        <f t="shared" si="11"/>
        <v>76.88267156862534</v>
      </c>
      <c r="AD25" s="195">
        <v>21</v>
      </c>
      <c r="AE25" s="134">
        <v>15</v>
      </c>
      <c r="AF25" s="203">
        <v>-15.8</v>
      </c>
      <c r="AG25" s="156">
        <f t="shared" si="12"/>
        <v>0.6456140350877192</v>
      </c>
      <c r="AH25" s="196">
        <f t="shared" si="13"/>
        <v>0.7046579733126878</v>
      </c>
      <c r="AI25" s="194">
        <f t="shared" si="14"/>
        <v>88.54699167451976</v>
      </c>
      <c r="AJ25" s="195">
        <v>21</v>
      </c>
      <c r="AK25" s="83">
        <v>15</v>
      </c>
      <c r="AL25" s="204">
        <v>-14.2</v>
      </c>
      <c r="AM25" s="108">
        <f t="shared" si="15"/>
        <v>0.6175438596491228</v>
      </c>
      <c r="AN25" s="19">
        <f t="shared" si="16"/>
        <v>0.6800396673436973</v>
      </c>
      <c r="AO25" s="109">
        <f t="shared" si="17"/>
        <v>85.98033427847949</v>
      </c>
      <c r="AP25" s="110">
        <v>21</v>
      </c>
      <c r="AQ25" s="83">
        <v>15</v>
      </c>
      <c r="AR25" s="160">
        <v>15.3</v>
      </c>
      <c r="AS25" s="108">
        <f t="shared" si="18"/>
        <v>0.09999999999999999</v>
      </c>
      <c r="AT25" s="19">
        <f t="shared" si="19"/>
        <v>0.1584893192461113</v>
      </c>
      <c r="AU25" s="109">
        <f t="shared" si="20"/>
        <v>34.49709313363584</v>
      </c>
      <c r="AV25" s="173">
        <f t="shared" si="21"/>
        <v>31.541521454813527</v>
      </c>
      <c r="AW25" s="83">
        <v>15</v>
      </c>
      <c r="AX25" s="160"/>
      <c r="AY25" s="108"/>
      <c r="AZ25" s="19"/>
      <c r="BA25" s="109"/>
      <c r="BB25" s="173"/>
    </row>
    <row r="26" spans="1:54" ht="14.25" customHeight="1">
      <c r="A26" s="83">
        <v>16</v>
      </c>
      <c r="B26" s="18"/>
      <c r="C26" s="19"/>
      <c r="D26" s="19"/>
      <c r="E26" s="20"/>
      <c r="F26" s="85"/>
      <c r="G26" s="83">
        <v>16</v>
      </c>
      <c r="H26" s="202">
        <v>6.1</v>
      </c>
      <c r="I26" s="156">
        <f t="shared" si="22"/>
        <v>0.2614035087719298</v>
      </c>
      <c r="J26" s="196">
        <f>POWER(I26,0.8)</f>
        <v>0.3418606627124926</v>
      </c>
      <c r="K26" s="194">
        <f t="shared" si="0"/>
        <v>51.82706233576566</v>
      </c>
      <c r="L26" s="195">
        <f t="shared" si="1"/>
        <v>26.921586853947147</v>
      </c>
      <c r="M26" s="134">
        <v>16</v>
      </c>
      <c r="N26" s="203">
        <v>-17.1</v>
      </c>
      <c r="O26" s="156">
        <f t="shared" si="2"/>
        <v>0.668421052631579</v>
      </c>
      <c r="P26" s="196">
        <f t="shared" si="3"/>
        <v>0.7245028463196772</v>
      </c>
      <c r="Q26" s="194">
        <f t="shared" si="4"/>
        <v>90.62271452234435</v>
      </c>
      <c r="R26" s="195">
        <v>21</v>
      </c>
      <c r="S26" s="134">
        <v>16</v>
      </c>
      <c r="T26" s="203">
        <v>-5.3</v>
      </c>
      <c r="U26" s="156">
        <f t="shared" si="6"/>
        <v>0.4614035087719298</v>
      </c>
      <c r="V26" s="196">
        <f t="shared" si="7"/>
        <v>0.5385979725432041</v>
      </c>
      <c r="W26" s="194">
        <f t="shared" si="8"/>
        <v>71.42640689035443</v>
      </c>
      <c r="X26" s="195">
        <v>21</v>
      </c>
      <c r="Y26" s="134">
        <v>16</v>
      </c>
      <c r="Z26" s="202">
        <v>-4.1</v>
      </c>
      <c r="AA26" s="156">
        <f t="shared" si="9"/>
        <v>0.4403508771929825</v>
      </c>
      <c r="AB26" s="196">
        <f t="shared" si="10"/>
        <v>0.5188467403731978</v>
      </c>
      <c r="AC26" s="194">
        <f t="shared" si="11"/>
        <v>69.4222324276885</v>
      </c>
      <c r="AD26" s="195">
        <v>21</v>
      </c>
      <c r="AE26" s="134">
        <v>16</v>
      </c>
      <c r="AF26" s="203">
        <v>-13.3</v>
      </c>
      <c r="AG26" s="156">
        <f t="shared" si="12"/>
        <v>0.6017543859649123</v>
      </c>
      <c r="AH26" s="196">
        <f t="shared" si="13"/>
        <v>0.666093831031927</v>
      </c>
      <c r="AI26" s="194">
        <f t="shared" si="14"/>
        <v>84.53056008214772</v>
      </c>
      <c r="AJ26" s="195">
        <v>21</v>
      </c>
      <c r="AK26" s="83">
        <v>16</v>
      </c>
      <c r="AL26" s="204">
        <v>-17.7</v>
      </c>
      <c r="AM26" s="108">
        <f t="shared" si="15"/>
        <v>0.6789473684210526</v>
      </c>
      <c r="AN26" s="19">
        <f t="shared" si="16"/>
        <v>0.7336161568382062</v>
      </c>
      <c r="AO26" s="109">
        <f t="shared" si="17"/>
        <v>91.57791996133915</v>
      </c>
      <c r="AP26" s="110">
        <v>21</v>
      </c>
      <c r="AQ26" s="83">
        <v>16</v>
      </c>
      <c r="AR26" s="160">
        <v>13.2</v>
      </c>
      <c r="AS26" s="108">
        <f t="shared" si="18"/>
        <v>0.1368421052631579</v>
      </c>
      <c r="AT26" s="19">
        <f t="shared" si="19"/>
        <v>0.20369285604813145</v>
      </c>
      <c r="AU26" s="109">
        <f t="shared" si="20"/>
        <v>38.65868959432851</v>
      </c>
      <c r="AV26" s="173">
        <f t="shared" si="21"/>
        <v>30.602309665564917</v>
      </c>
      <c r="AW26" s="83">
        <v>16</v>
      </c>
      <c r="AX26" s="160"/>
      <c r="AY26" s="108"/>
      <c r="AZ26" s="19"/>
      <c r="BA26" s="109"/>
      <c r="BB26" s="173"/>
    </row>
    <row r="27" spans="1:54" ht="13.5" customHeight="1">
      <c r="A27" s="83">
        <v>17</v>
      </c>
      <c r="B27" s="18"/>
      <c r="C27" s="19"/>
      <c r="D27" s="19"/>
      <c r="E27" s="20"/>
      <c r="F27" s="85"/>
      <c r="G27" s="83">
        <v>17</v>
      </c>
      <c r="H27" s="202">
        <v>8.7</v>
      </c>
      <c r="I27" s="156">
        <f t="shared" si="22"/>
        <v>0.21578947368421053</v>
      </c>
      <c r="J27" s="196">
        <f t="shared" si="23"/>
        <v>0.2932406710106604</v>
      </c>
      <c r="K27" s="194">
        <f t="shared" si="0"/>
        <v>47.12640653031352</v>
      </c>
      <c r="L27" s="195">
        <f t="shared" si="1"/>
        <v>28.321663019809005</v>
      </c>
      <c r="M27" s="134">
        <v>17</v>
      </c>
      <c r="N27" s="203">
        <v>-14</v>
      </c>
      <c r="O27" s="156">
        <f t="shared" si="2"/>
        <v>0.6140350877192983</v>
      </c>
      <c r="P27" s="196">
        <f aca="true" t="shared" si="24" ref="P27:P40">POWER(O27,0.8)</f>
        <v>0.6769468176417747</v>
      </c>
      <c r="Q27" s="194">
        <f t="shared" si="4"/>
        <v>85.65854507444283</v>
      </c>
      <c r="R27" s="195">
        <v>21</v>
      </c>
      <c r="S27" s="134">
        <v>17</v>
      </c>
      <c r="T27" s="203">
        <v>-2.4</v>
      </c>
      <c r="U27" s="156">
        <f t="shared" si="6"/>
        <v>0.4105263157894737</v>
      </c>
      <c r="V27" s="196">
        <f aca="true" t="shared" si="25" ref="V27:V40">POWER(U27,0.8)</f>
        <v>0.4905381641504367</v>
      </c>
      <c r="W27" s="194">
        <f t="shared" si="8"/>
        <v>66.56283393735711</v>
      </c>
      <c r="X27" s="195">
        <f>T27+(21-T27)*(70-T27)/(W27-T27)</f>
        <v>22.16627582240751</v>
      </c>
      <c r="Y27" s="134">
        <v>17</v>
      </c>
      <c r="Z27" s="202">
        <v>-9.6</v>
      </c>
      <c r="AA27" s="156">
        <f t="shared" si="9"/>
        <v>0.5368421052631579</v>
      </c>
      <c r="AB27" s="196">
        <f aca="true" t="shared" si="26" ref="AB27:AB40">POWER(AA27,0.8)</f>
        <v>0.6079631501850653</v>
      </c>
      <c r="AC27" s="194">
        <f t="shared" si="11"/>
        <v>78.52131268374994</v>
      </c>
      <c r="AD27" s="195">
        <v>21</v>
      </c>
      <c r="AE27" s="134">
        <v>17</v>
      </c>
      <c r="AF27" s="203">
        <v>-8.4</v>
      </c>
      <c r="AG27" s="156">
        <f t="shared" si="12"/>
        <v>0.5157894736842105</v>
      </c>
      <c r="AH27" s="196">
        <f aca="true" t="shared" si="27" ref="AH27:AH38">POWER(AG27,0.8)</f>
        <v>0.5888137997351475</v>
      </c>
      <c r="AI27" s="194">
        <f t="shared" si="14"/>
        <v>76.55415394686946</v>
      </c>
      <c r="AJ27" s="195">
        <v>21</v>
      </c>
      <c r="AK27" s="83">
        <v>17</v>
      </c>
      <c r="AL27" s="204">
        <v>-17</v>
      </c>
      <c r="AM27" s="108">
        <f t="shared" si="15"/>
        <v>0.6666666666666666</v>
      </c>
      <c r="AN27" s="19">
        <f aca="true" t="shared" si="28" ref="AN27:AN40">POWER(AM27,0.8)</f>
        <v>0.7229811807984656</v>
      </c>
      <c r="AO27" s="109">
        <f t="shared" si="17"/>
        <v>90.46334261910565</v>
      </c>
      <c r="AP27" s="110">
        <v>21</v>
      </c>
      <c r="AQ27" s="83">
        <v>17</v>
      </c>
      <c r="AR27" s="160">
        <v>10.5</v>
      </c>
      <c r="AS27" s="108">
        <f t="shared" si="18"/>
        <v>0.18421052631578946</v>
      </c>
      <c r="AT27" s="19">
        <f aca="true" t="shared" si="29" ref="AT27:AT36">POWER(AS27,0.8)</f>
        <v>0.25837563365082666</v>
      </c>
      <c r="AU27" s="109">
        <f t="shared" si="20"/>
        <v>43.79799620636795</v>
      </c>
      <c r="AV27" s="173">
        <f t="shared" si="21"/>
        <v>29.262390269013306</v>
      </c>
      <c r="AW27" s="83">
        <v>17</v>
      </c>
      <c r="AX27" s="160"/>
      <c r="AY27" s="108"/>
      <c r="AZ27" s="19"/>
      <c r="BA27" s="109"/>
      <c r="BB27" s="173"/>
    </row>
    <row r="28" spans="1:54" ht="13.5" customHeight="1">
      <c r="A28" s="83">
        <v>18</v>
      </c>
      <c r="B28" s="18"/>
      <c r="C28" s="19"/>
      <c r="D28" s="19"/>
      <c r="E28" s="20"/>
      <c r="F28" s="85"/>
      <c r="G28" s="83">
        <v>18</v>
      </c>
      <c r="H28" s="202">
        <v>8.2</v>
      </c>
      <c r="I28" s="156">
        <f t="shared" si="22"/>
        <v>0.22456140350877193</v>
      </c>
      <c r="J28" s="196">
        <f t="shared" si="23"/>
        <v>0.30273880421585236</v>
      </c>
      <c r="K28" s="194">
        <f t="shared" si="0"/>
        <v>48.03948909085386</v>
      </c>
      <c r="L28" s="195">
        <f t="shared" si="1"/>
        <v>28.055676316431548</v>
      </c>
      <c r="M28" s="134">
        <v>18</v>
      </c>
      <c r="N28" s="203">
        <v>-13.7</v>
      </c>
      <c r="O28" s="156">
        <f t="shared" si="2"/>
        <v>0.6087719298245614</v>
      </c>
      <c r="P28" s="196">
        <f t="shared" si="24"/>
        <v>0.672300904110829</v>
      </c>
      <c r="Q28" s="194">
        <f t="shared" si="4"/>
        <v>85.17545297123704</v>
      </c>
      <c r="R28" s="195">
        <v>21</v>
      </c>
      <c r="S28" s="134">
        <v>18</v>
      </c>
      <c r="T28" s="203">
        <v>-2.4</v>
      </c>
      <c r="U28" s="156">
        <f t="shared" si="6"/>
        <v>0.4105263157894737</v>
      </c>
      <c r="V28" s="196">
        <f t="shared" si="25"/>
        <v>0.4905381641504367</v>
      </c>
      <c r="W28" s="194">
        <f t="shared" si="8"/>
        <v>66.56283393735711</v>
      </c>
      <c r="X28" s="195">
        <f>T28+(21-T28)*(70-T28)/(W28-T28)</f>
        <v>22.16627582240751</v>
      </c>
      <c r="Y28" s="134">
        <v>18</v>
      </c>
      <c r="Z28" s="202">
        <v>-9.1</v>
      </c>
      <c r="AA28" s="156">
        <f t="shared" si="9"/>
        <v>0.5280701754385965</v>
      </c>
      <c r="AB28" s="196">
        <f t="shared" si="26"/>
        <v>0.6000028481480887</v>
      </c>
      <c r="AC28" s="194">
        <f t="shared" si="11"/>
        <v>77.70280674005483</v>
      </c>
      <c r="AD28" s="195">
        <v>21</v>
      </c>
      <c r="AE28" s="134">
        <v>18</v>
      </c>
      <c r="AF28" s="203">
        <v>-7.4</v>
      </c>
      <c r="AG28" s="156">
        <f t="shared" si="12"/>
        <v>0.4982456140350877</v>
      </c>
      <c r="AH28" s="196">
        <f t="shared" si="27"/>
        <v>0.5727364027984014</v>
      </c>
      <c r="AI28" s="194">
        <f t="shared" si="14"/>
        <v>74.90749929841748</v>
      </c>
      <c r="AJ28" s="195">
        <v>21</v>
      </c>
      <c r="AK28" s="83">
        <v>18</v>
      </c>
      <c r="AL28" s="204">
        <v>-18.3</v>
      </c>
      <c r="AM28" s="108">
        <f t="shared" si="15"/>
        <v>0.6894736842105262</v>
      </c>
      <c r="AN28" s="19">
        <f t="shared" si="28"/>
        <v>0.7427012515541006</v>
      </c>
      <c r="AO28" s="109">
        <f t="shared" si="17"/>
        <v>92.53139012847191</v>
      </c>
      <c r="AP28" s="110">
        <v>21</v>
      </c>
      <c r="AQ28" s="83">
        <v>18</v>
      </c>
      <c r="AR28" s="160">
        <v>7.3</v>
      </c>
      <c r="AS28" s="108">
        <f t="shared" si="18"/>
        <v>0.24035087719298245</v>
      </c>
      <c r="AT28" s="19">
        <f t="shared" si="29"/>
        <v>0.31965136930970156</v>
      </c>
      <c r="AU28" s="109">
        <f t="shared" si="20"/>
        <v>49.671717107283484</v>
      </c>
      <c r="AV28" s="173">
        <f t="shared" si="21"/>
        <v>27.572721018718024</v>
      </c>
      <c r="AW28" s="83">
        <v>18</v>
      </c>
      <c r="AX28" s="160"/>
      <c r="AY28" s="108"/>
      <c r="AZ28" s="19"/>
      <c r="BA28" s="109"/>
      <c r="BB28" s="173"/>
    </row>
    <row r="29" spans="1:54" ht="15.75" customHeight="1">
      <c r="A29" s="83">
        <v>19</v>
      </c>
      <c r="B29" s="18"/>
      <c r="C29" s="19"/>
      <c r="D29" s="19"/>
      <c r="E29" s="20"/>
      <c r="F29" s="85"/>
      <c r="G29" s="83">
        <v>19</v>
      </c>
      <c r="H29" s="202">
        <v>10.4</v>
      </c>
      <c r="I29" s="156">
        <f t="shared" si="22"/>
        <v>0.18596491228070175</v>
      </c>
      <c r="J29" s="196">
        <f t="shared" si="23"/>
        <v>0.26034234217772567</v>
      </c>
      <c r="K29" s="194">
        <f t="shared" si="0"/>
        <v>43.984738254456445</v>
      </c>
      <c r="L29" s="195">
        <f t="shared" si="1"/>
        <v>29.21092522482798</v>
      </c>
      <c r="M29" s="134">
        <v>19</v>
      </c>
      <c r="N29" s="203">
        <v>-14.4</v>
      </c>
      <c r="O29" s="156">
        <f t="shared" si="2"/>
        <v>0.6210526315789473</v>
      </c>
      <c r="P29" s="196">
        <f t="shared" si="24"/>
        <v>0.6831290044190843</v>
      </c>
      <c r="Q29" s="194">
        <f t="shared" si="4"/>
        <v>86.3019074559842</v>
      </c>
      <c r="R29" s="195">
        <v>21</v>
      </c>
      <c r="S29" s="134">
        <v>19</v>
      </c>
      <c r="T29" s="203">
        <v>-3.6</v>
      </c>
      <c r="U29" s="156">
        <f t="shared" si="6"/>
        <v>0.43157894736842106</v>
      </c>
      <c r="V29" s="196">
        <f t="shared" si="25"/>
        <v>0.5105616626593278</v>
      </c>
      <c r="W29" s="194">
        <f t="shared" si="8"/>
        <v>68.58375277986445</v>
      </c>
      <c r="X29" s="195">
        <v>21</v>
      </c>
      <c r="Y29" s="134">
        <v>19</v>
      </c>
      <c r="Z29" s="202">
        <v>-11.4</v>
      </c>
      <c r="AA29" s="156">
        <f t="shared" si="9"/>
        <v>0.5684210526315789</v>
      </c>
      <c r="AB29" s="196">
        <f t="shared" si="26"/>
        <v>0.6364087228696925</v>
      </c>
      <c r="AC29" s="194">
        <f t="shared" si="11"/>
        <v>81.4549259301703</v>
      </c>
      <c r="AD29" s="195">
        <v>21</v>
      </c>
      <c r="AE29" s="134">
        <v>19</v>
      </c>
      <c r="AF29" s="203">
        <v>-7.3</v>
      </c>
      <c r="AG29" s="156">
        <f t="shared" si="12"/>
        <v>0.4964912280701754</v>
      </c>
      <c r="AH29" s="196">
        <f t="shared" si="27"/>
        <v>0.5711224919388628</v>
      </c>
      <c r="AI29" s="194">
        <f t="shared" si="14"/>
        <v>74.74245430687164</v>
      </c>
      <c r="AJ29" s="195">
        <v>21</v>
      </c>
      <c r="AK29" s="83">
        <v>19</v>
      </c>
      <c r="AL29" s="204">
        <v>-15.4</v>
      </c>
      <c r="AM29" s="108">
        <f t="shared" si="15"/>
        <v>0.6385964912280702</v>
      </c>
      <c r="AN29" s="19">
        <f t="shared" si="28"/>
        <v>0.6985238232598006</v>
      </c>
      <c r="AO29" s="109">
        <f t="shared" si="17"/>
        <v>87.90658355153036</v>
      </c>
      <c r="AP29" s="110">
        <v>21</v>
      </c>
      <c r="AQ29" s="83">
        <v>19</v>
      </c>
      <c r="AR29" s="160">
        <v>7.9</v>
      </c>
      <c r="AS29" s="108">
        <f t="shared" si="18"/>
        <v>0.22982456140350876</v>
      </c>
      <c r="AT29" s="19">
        <f t="shared" si="29"/>
        <v>0.30840197598403685</v>
      </c>
      <c r="AU29" s="109">
        <f t="shared" si="20"/>
        <v>48.58514257564984</v>
      </c>
      <c r="AV29" s="173">
        <f t="shared" si="21"/>
        <v>27.89525990322786</v>
      </c>
      <c r="AW29" s="83">
        <v>19</v>
      </c>
      <c r="AX29" s="160"/>
      <c r="AY29" s="108"/>
      <c r="AZ29" s="19"/>
      <c r="BA29" s="109"/>
      <c r="BB29" s="173"/>
    </row>
    <row r="30" spans="1:54" ht="15.75" customHeight="1">
      <c r="A30" s="83">
        <v>20</v>
      </c>
      <c r="B30" s="18"/>
      <c r="C30" s="19"/>
      <c r="D30" s="19"/>
      <c r="E30" s="20"/>
      <c r="F30" s="85"/>
      <c r="G30" s="83">
        <v>20</v>
      </c>
      <c r="H30" s="202">
        <v>8.3</v>
      </c>
      <c r="I30" s="156">
        <f t="shared" si="22"/>
        <v>0.22280701754385965</v>
      </c>
      <c r="J30" s="196">
        <f t="shared" si="23"/>
        <v>0.3008452038333093</v>
      </c>
      <c r="K30" s="194">
        <f t="shared" si="0"/>
        <v>47.85724319364326</v>
      </c>
      <c r="L30" s="195">
        <f t="shared" si="1"/>
        <v>28.109014398807265</v>
      </c>
      <c r="M30" s="134">
        <v>20</v>
      </c>
      <c r="N30" s="203">
        <v>-7.4</v>
      </c>
      <c r="O30" s="156">
        <f t="shared" si="2"/>
        <v>0.4982456140350877</v>
      </c>
      <c r="P30" s="196">
        <f t="shared" si="24"/>
        <v>0.5727364027984014</v>
      </c>
      <c r="Q30" s="194">
        <f t="shared" si="4"/>
        <v>74.90749929841748</v>
      </c>
      <c r="R30" s="195">
        <v>21</v>
      </c>
      <c r="S30" s="134">
        <v>20</v>
      </c>
      <c r="T30" s="203">
        <v>-1.9</v>
      </c>
      <c r="U30" s="156">
        <f t="shared" si="6"/>
        <v>0.40175438596491225</v>
      </c>
      <c r="V30" s="196">
        <f t="shared" si="25"/>
        <v>0.48213482418488424</v>
      </c>
      <c r="W30" s="194">
        <f t="shared" si="8"/>
        <v>65.71708116105458</v>
      </c>
      <c r="X30" s="195">
        <f>T30+(21-T30)*(70-T30)/(W30-T30)</f>
        <v>22.45050392190458</v>
      </c>
      <c r="Y30" s="134">
        <v>20</v>
      </c>
      <c r="Z30" s="202">
        <v>-13.9</v>
      </c>
      <c r="AA30" s="156">
        <f t="shared" si="9"/>
        <v>0.612280701754386</v>
      </c>
      <c r="AB30" s="196">
        <f t="shared" si="26"/>
        <v>0.6753990680362658</v>
      </c>
      <c r="AC30" s="194">
        <f t="shared" si="11"/>
        <v>85.49756900001982</v>
      </c>
      <c r="AD30" s="195">
        <v>21</v>
      </c>
      <c r="AE30" s="134">
        <v>20</v>
      </c>
      <c r="AF30" s="203">
        <v>-10.2</v>
      </c>
      <c r="AG30" s="156">
        <f t="shared" si="12"/>
        <v>0.5473684210526316</v>
      </c>
      <c r="AH30" s="196">
        <f t="shared" si="27"/>
        <v>0.6174812727839413</v>
      </c>
      <c r="AI30" s="194">
        <f t="shared" si="14"/>
        <v>79.50141406568608</v>
      </c>
      <c r="AJ30" s="195">
        <v>21</v>
      </c>
      <c r="AK30" s="83">
        <v>20</v>
      </c>
      <c r="AL30" s="204">
        <v>-10.5</v>
      </c>
      <c r="AM30" s="108">
        <f t="shared" si="15"/>
        <v>0.5526315789473685</v>
      </c>
      <c r="AN30" s="19">
        <f t="shared" si="28"/>
        <v>0.6222265790329616</v>
      </c>
      <c r="AO30" s="109">
        <f t="shared" si="17"/>
        <v>79.99061882105346</v>
      </c>
      <c r="AP30" s="110">
        <v>21</v>
      </c>
      <c r="AQ30" s="83">
        <v>20</v>
      </c>
      <c r="AR30" s="160">
        <v>10.9</v>
      </c>
      <c r="AS30" s="108">
        <f t="shared" si="18"/>
        <v>0.17719298245614035</v>
      </c>
      <c r="AT30" s="19">
        <f t="shared" si="29"/>
        <v>0.2504708643529852</v>
      </c>
      <c r="AU30" s="109">
        <f t="shared" si="20"/>
        <v>43.048694999813854</v>
      </c>
      <c r="AV30" s="173">
        <f t="shared" si="21"/>
        <v>29.467161124377093</v>
      </c>
      <c r="AW30" s="83">
        <v>20</v>
      </c>
      <c r="AX30" s="160"/>
      <c r="AY30" s="108"/>
      <c r="AZ30" s="19"/>
      <c r="BA30" s="109"/>
      <c r="BB30" s="173"/>
    </row>
    <row r="31" spans="1:54" ht="15.75" customHeight="1">
      <c r="A31" s="83">
        <v>21</v>
      </c>
      <c r="B31" s="140"/>
      <c r="C31" s="156"/>
      <c r="D31" s="193"/>
      <c r="E31" s="194"/>
      <c r="F31" s="195"/>
      <c r="G31" s="83">
        <v>21</v>
      </c>
      <c r="H31" s="202">
        <v>5.7</v>
      </c>
      <c r="I31" s="156">
        <f t="shared" si="22"/>
        <v>0.26842105263157895</v>
      </c>
      <c r="J31" s="196">
        <f t="shared" si="23"/>
        <v>0.3491831352581999</v>
      </c>
      <c r="K31" s="194">
        <f t="shared" si="0"/>
        <v>52.54055229206351</v>
      </c>
      <c r="L31" s="195">
        <f t="shared" si="1"/>
        <v>26.70295474455133</v>
      </c>
      <c r="M31" s="134">
        <v>21</v>
      </c>
      <c r="N31" s="203">
        <v>-8.6</v>
      </c>
      <c r="O31" s="156">
        <f t="shared" si="2"/>
        <v>0.5192982456140351</v>
      </c>
      <c r="P31" s="196">
        <f t="shared" si="24"/>
        <v>0.5920160546032364</v>
      </c>
      <c r="Q31" s="194">
        <f t="shared" si="4"/>
        <v>76.88267156862534</v>
      </c>
      <c r="R31" s="195">
        <v>21</v>
      </c>
      <c r="S31" s="134">
        <v>21</v>
      </c>
      <c r="T31" s="203">
        <v>-2.1</v>
      </c>
      <c r="U31" s="156">
        <f t="shared" si="6"/>
        <v>0.4052631578947369</v>
      </c>
      <c r="V31" s="196">
        <f t="shared" si="25"/>
        <v>0.4855005199733592</v>
      </c>
      <c r="W31" s="194">
        <f t="shared" si="8"/>
        <v>66.05565039941422</v>
      </c>
      <c r="X31" s="195">
        <f>T31+(21-T31)*(70-T31)/(W31-T31)</f>
        <v>22.336858723225017</v>
      </c>
      <c r="Y31" s="134">
        <v>21</v>
      </c>
      <c r="Z31" s="202">
        <v>-13.2</v>
      </c>
      <c r="AA31" s="156">
        <f t="shared" si="9"/>
        <v>0.6000000000000001</v>
      </c>
      <c r="AB31" s="196">
        <f t="shared" si="26"/>
        <v>0.664539805948974</v>
      </c>
      <c r="AC31" s="194">
        <f t="shared" si="11"/>
        <v>84.3691980658619</v>
      </c>
      <c r="AD31" s="195">
        <v>21</v>
      </c>
      <c r="AE31" s="134">
        <v>21</v>
      </c>
      <c r="AF31" s="203">
        <v>-8.4</v>
      </c>
      <c r="AG31" s="156">
        <f t="shared" si="12"/>
        <v>0.5157894736842105</v>
      </c>
      <c r="AH31" s="196">
        <f t="shared" si="27"/>
        <v>0.5888137997351475</v>
      </c>
      <c r="AI31" s="194">
        <f t="shared" si="14"/>
        <v>76.55415394686946</v>
      </c>
      <c r="AJ31" s="195">
        <v>21</v>
      </c>
      <c r="AK31" s="83">
        <v>21</v>
      </c>
      <c r="AL31" s="204">
        <v>-10.1</v>
      </c>
      <c r="AM31" s="108">
        <f t="shared" si="15"/>
        <v>0.5456140350877193</v>
      </c>
      <c r="AN31" s="19">
        <f t="shared" si="28"/>
        <v>0.6158974793541255</v>
      </c>
      <c r="AO31" s="109">
        <f t="shared" si="17"/>
        <v>79.3382212960682</v>
      </c>
      <c r="AP31" s="110">
        <v>21</v>
      </c>
      <c r="AQ31" s="83">
        <v>21</v>
      </c>
      <c r="AR31" s="160">
        <v>8.2</v>
      </c>
      <c r="AS31" s="108">
        <f aca="true" t="shared" si="30" ref="AS31:AS36">1*(21-AR31)/(21+36)</f>
        <v>0.22456140350877193</v>
      </c>
      <c r="AT31" s="19">
        <f t="shared" si="29"/>
        <v>0.30273880421585236</v>
      </c>
      <c r="AU31" s="109">
        <f aca="true" t="shared" si="31" ref="AU31:AU36">21+(120-0.5*95-0.5*70)*AS31+0.5*(95+70-2*21)*AT31</f>
        <v>48.03948909085386</v>
      </c>
      <c r="AV31" s="173">
        <f t="shared" si="21"/>
        <v>28.055676316431548</v>
      </c>
      <c r="AW31" s="83">
        <v>21</v>
      </c>
      <c r="AX31" s="160"/>
      <c r="AY31" s="108"/>
      <c r="AZ31" s="19"/>
      <c r="BA31" s="109"/>
      <c r="BB31" s="173"/>
    </row>
    <row r="32" spans="1:54" ht="15" customHeight="1">
      <c r="A32" s="83">
        <v>22</v>
      </c>
      <c r="B32" s="201">
        <v>7</v>
      </c>
      <c r="C32" s="156">
        <f>1*(21-B32)/(21+36)</f>
        <v>0.24561403508771928</v>
      </c>
      <c r="D32" s="193">
        <f>POWER(C32,0.8)</f>
        <v>0.32523894527020303</v>
      </c>
      <c r="E32" s="194">
        <f>21+(120-0.5*95-0.5*70)*C32+0.5*(95+70-2*21)*D32</f>
        <v>50.21272144990696</v>
      </c>
      <c r="F32" s="195">
        <f>B32+(21-B32)*(70-B32)/(E32-B32)</f>
        <v>27.410656177311857</v>
      </c>
      <c r="G32" s="83">
        <v>22</v>
      </c>
      <c r="H32" s="202">
        <v>1.7</v>
      </c>
      <c r="I32" s="156">
        <f t="shared" si="22"/>
        <v>0.3385964912280702</v>
      </c>
      <c r="J32" s="196">
        <f t="shared" si="23"/>
        <v>0.42048059943123967</v>
      </c>
      <c r="K32" s="194">
        <f t="shared" si="0"/>
        <v>59.55692528607387</v>
      </c>
      <c r="L32" s="195">
        <f t="shared" si="1"/>
        <v>24.483616541705295</v>
      </c>
      <c r="M32" s="134">
        <v>22</v>
      </c>
      <c r="N32" s="203">
        <v>-2.5</v>
      </c>
      <c r="O32" s="156">
        <f t="shared" si="2"/>
        <v>0.41228070175438597</v>
      </c>
      <c r="P32" s="196">
        <f t="shared" si="24"/>
        <v>0.49221450223577407</v>
      </c>
      <c r="Q32" s="194">
        <f t="shared" si="4"/>
        <v>66.73171820328957</v>
      </c>
      <c r="R32" s="195">
        <f>N32+(21-N32)*(70-N32)/(Q32-N32)</f>
        <v>22.109384892011036</v>
      </c>
      <c r="S32" s="134">
        <v>22</v>
      </c>
      <c r="T32" s="203">
        <v>-1.6</v>
      </c>
      <c r="U32" s="156">
        <f t="shared" si="6"/>
        <v>0.39649122807017545</v>
      </c>
      <c r="V32" s="196">
        <f t="shared" si="25"/>
        <v>0.47707522828240356</v>
      </c>
      <c r="W32" s="194">
        <f t="shared" si="8"/>
        <v>65.20854759199939</v>
      </c>
      <c r="X32" s="195">
        <f>T32+(21-T32)*(70-T32)/(W32-T32)</f>
        <v>22.6208528447905</v>
      </c>
      <c r="Y32" s="134">
        <v>22</v>
      </c>
      <c r="Z32" s="202">
        <v>-16.9</v>
      </c>
      <c r="AA32" s="156">
        <f t="shared" si="9"/>
        <v>0.6649122807017543</v>
      </c>
      <c r="AB32" s="196">
        <f t="shared" si="26"/>
        <v>0.7214587141888529</v>
      </c>
      <c r="AC32" s="194">
        <f t="shared" si="11"/>
        <v>90.30392144893024</v>
      </c>
      <c r="AD32" s="195">
        <v>21</v>
      </c>
      <c r="AE32" s="134">
        <v>22</v>
      </c>
      <c r="AF32" s="203">
        <v>-4.5</v>
      </c>
      <c r="AG32" s="156">
        <f t="shared" si="12"/>
        <v>0.4473684210526316</v>
      </c>
      <c r="AH32" s="196">
        <f t="shared" si="27"/>
        <v>0.5254510446662567</v>
      </c>
      <c r="AI32" s="194">
        <f t="shared" si="14"/>
        <v>70.09155503644847</v>
      </c>
      <c r="AJ32" s="195">
        <v>21</v>
      </c>
      <c r="AK32" s="83">
        <v>22</v>
      </c>
      <c r="AL32" s="204">
        <v>-5.6</v>
      </c>
      <c r="AM32" s="108">
        <f t="shared" si="15"/>
        <v>0.4666666666666667</v>
      </c>
      <c r="AN32" s="19">
        <f t="shared" si="28"/>
        <v>0.5435073540305064</v>
      </c>
      <c r="AO32" s="109">
        <f t="shared" si="17"/>
        <v>71.92570227287615</v>
      </c>
      <c r="AP32" s="110">
        <v>21</v>
      </c>
      <c r="AQ32" s="83">
        <v>22</v>
      </c>
      <c r="AR32" s="160">
        <v>0.5</v>
      </c>
      <c r="AS32" s="108">
        <f t="shared" si="30"/>
        <v>0.35964912280701755</v>
      </c>
      <c r="AT32" s="19">
        <f t="shared" si="29"/>
        <v>0.4412687823747561</v>
      </c>
      <c r="AU32" s="109">
        <f t="shared" si="31"/>
        <v>61.62487222131065</v>
      </c>
      <c r="AV32" s="173">
        <f>AR32+(21-AR32)*(70-AR32)/(AU32-AR32)</f>
        <v>23.808842181976345</v>
      </c>
      <c r="AW32" s="83">
        <v>22</v>
      </c>
      <c r="AX32" s="160"/>
      <c r="AY32" s="108"/>
      <c r="AZ32" s="19"/>
      <c r="BA32" s="109"/>
      <c r="BB32" s="173"/>
    </row>
    <row r="33" spans="1:54" ht="15.75" customHeight="1">
      <c r="A33" s="83">
        <v>23</v>
      </c>
      <c r="B33" s="201">
        <v>5.2</v>
      </c>
      <c r="C33" s="156">
        <f aca="true" t="shared" si="32" ref="C33:C38">1*(21-B33)/(21+36)</f>
        <v>0.2771929824561404</v>
      </c>
      <c r="D33" s="193">
        <f aca="true" t="shared" si="33" ref="D33:D38">POWER(C33,0.8)</f>
        <v>0.3582826559874365</v>
      </c>
      <c r="E33" s="194">
        <f aca="true" t="shared" si="34" ref="E33:E38">21+(120-0.5*95-0.5*70)*C33+0.5*(95+70-2*21)*D33</f>
        <v>53.42912018533261</v>
      </c>
      <c r="F33" s="195">
        <f aca="true" t="shared" si="35" ref="F33:F38">B33+(21-B33)*(70-B33)/(E33-B33)</f>
        <v>26.428668407502265</v>
      </c>
      <c r="G33" s="83">
        <v>23</v>
      </c>
      <c r="H33" s="202">
        <v>7.6</v>
      </c>
      <c r="I33" s="156">
        <f t="shared" si="22"/>
        <v>0.23508771929824562</v>
      </c>
      <c r="J33" s="196">
        <f t="shared" si="23"/>
        <v>0.31403926638769436</v>
      </c>
      <c r="K33" s="194">
        <f t="shared" si="0"/>
        <v>49.12920435652742</v>
      </c>
      <c r="L33" s="195">
        <f t="shared" si="1"/>
        <v>27.73426486145948</v>
      </c>
      <c r="M33" s="134">
        <v>23</v>
      </c>
      <c r="N33" s="203">
        <v>-3</v>
      </c>
      <c r="O33" s="156">
        <f t="shared" si="2"/>
        <v>0.42105263157894735</v>
      </c>
      <c r="P33" s="196">
        <f t="shared" si="24"/>
        <v>0.5005749455945786</v>
      </c>
      <c r="Q33" s="194">
        <f t="shared" si="4"/>
        <v>67.5748328382771</v>
      </c>
      <c r="R33" s="195">
        <f>N33+(21-N33)*(70-N33)/(Q33-N33)</f>
        <v>21.82471342177635</v>
      </c>
      <c r="S33" s="134">
        <v>23</v>
      </c>
      <c r="T33" s="203">
        <v>-4.1</v>
      </c>
      <c r="U33" s="156">
        <f t="shared" si="6"/>
        <v>0.4403508771929825</v>
      </c>
      <c r="V33" s="196">
        <f t="shared" si="25"/>
        <v>0.5188467403731978</v>
      </c>
      <c r="W33" s="194">
        <f t="shared" si="8"/>
        <v>69.4222324276885</v>
      </c>
      <c r="X33" s="195">
        <f>T33+(21-T33)*(70-T33)/(W33-T33)</f>
        <v>21.19724599738293</v>
      </c>
      <c r="Y33" s="134">
        <v>23</v>
      </c>
      <c r="Z33" s="202">
        <v>-20.5</v>
      </c>
      <c r="AA33" s="156">
        <f t="shared" si="9"/>
        <v>0.7280701754385965</v>
      </c>
      <c r="AB33" s="196">
        <f t="shared" si="26"/>
        <v>0.7757800245692812</v>
      </c>
      <c r="AC33" s="194">
        <f t="shared" si="11"/>
        <v>96.01310308995816</v>
      </c>
      <c r="AD33" s="195">
        <v>21</v>
      </c>
      <c r="AE33" s="134">
        <v>23</v>
      </c>
      <c r="AF33" s="203">
        <v>-5</v>
      </c>
      <c r="AG33" s="156">
        <f t="shared" si="12"/>
        <v>0.45614035087719296</v>
      </c>
      <c r="AH33" s="196">
        <f t="shared" si="27"/>
        <v>0.5336773778927334</v>
      </c>
      <c r="AI33" s="194">
        <f t="shared" si="14"/>
        <v>70.92642189829785</v>
      </c>
      <c r="AJ33" s="195">
        <v>21</v>
      </c>
      <c r="AK33" s="83">
        <v>23</v>
      </c>
      <c r="AL33" s="204">
        <v>-4.2</v>
      </c>
      <c r="AM33" s="108">
        <f t="shared" si="15"/>
        <v>0.4421052631578947</v>
      </c>
      <c r="AN33" s="19">
        <f t="shared" si="28"/>
        <v>0.5204997773683395</v>
      </c>
      <c r="AO33" s="109">
        <f t="shared" si="17"/>
        <v>69.58968367657394</v>
      </c>
      <c r="AP33" s="110">
        <v>21</v>
      </c>
      <c r="AQ33" s="83">
        <v>23</v>
      </c>
      <c r="AR33" s="160">
        <v>3.1</v>
      </c>
      <c r="AS33" s="108">
        <f t="shared" si="30"/>
        <v>0.3140350877192982</v>
      </c>
      <c r="AT33" s="19">
        <f t="shared" si="29"/>
        <v>0.3958973003195093</v>
      </c>
      <c r="AU33" s="109">
        <f t="shared" si="31"/>
        <v>57.12399975912351</v>
      </c>
      <c r="AV33" s="173">
        <f>AR33+(21-AR33)*(70-AR33)/(AU33-AR33)</f>
        <v>25.266259539081354</v>
      </c>
      <c r="AW33" s="83">
        <v>23</v>
      </c>
      <c r="AX33" s="160"/>
      <c r="AY33" s="108"/>
      <c r="AZ33" s="19"/>
      <c r="BA33" s="109"/>
      <c r="BB33" s="173"/>
    </row>
    <row r="34" spans="1:54" ht="15" customHeight="1">
      <c r="A34" s="83">
        <v>24</v>
      </c>
      <c r="B34" s="201">
        <v>3.2</v>
      </c>
      <c r="C34" s="156">
        <f t="shared" si="32"/>
        <v>0.312280701754386</v>
      </c>
      <c r="D34" s="193">
        <f t="shared" si="33"/>
        <v>0.39412693621779715</v>
      </c>
      <c r="E34" s="194">
        <f t="shared" si="34"/>
        <v>56.94933289318399</v>
      </c>
      <c r="F34" s="195">
        <f t="shared" si="35"/>
        <v>25.321948980519966</v>
      </c>
      <c r="G34" s="83">
        <v>24</v>
      </c>
      <c r="H34" s="202">
        <v>9.7</v>
      </c>
      <c r="I34" s="156">
        <f t="shared" si="22"/>
        <v>0.19824561403508772</v>
      </c>
      <c r="J34" s="196">
        <f t="shared" si="23"/>
        <v>0.274007764968916</v>
      </c>
      <c r="K34" s="194">
        <f t="shared" si="0"/>
        <v>45.28568807190412</v>
      </c>
      <c r="L34" s="195">
        <f t="shared" si="1"/>
        <v>28.84786637322256</v>
      </c>
      <c r="M34" s="134">
        <v>24</v>
      </c>
      <c r="N34" s="203">
        <v>-9.6</v>
      </c>
      <c r="O34" s="156">
        <f t="shared" si="2"/>
        <v>0.5368421052631579</v>
      </c>
      <c r="P34" s="196">
        <f t="shared" si="24"/>
        <v>0.6079631501850653</v>
      </c>
      <c r="Q34" s="194">
        <f t="shared" si="4"/>
        <v>78.52131268374994</v>
      </c>
      <c r="R34" s="195">
        <v>21</v>
      </c>
      <c r="S34" s="134">
        <v>24</v>
      </c>
      <c r="T34" s="203">
        <v>-12.1</v>
      </c>
      <c r="U34" s="156">
        <f t="shared" si="6"/>
        <v>0.5807017543859649</v>
      </c>
      <c r="V34" s="196">
        <f t="shared" si="25"/>
        <v>0.6473848180839789</v>
      </c>
      <c r="W34" s="194">
        <f t="shared" si="8"/>
        <v>82.59048210163839</v>
      </c>
      <c r="X34" s="195">
        <v>21</v>
      </c>
      <c r="Y34" s="134">
        <v>24</v>
      </c>
      <c r="Z34" s="202">
        <v>-18.8</v>
      </c>
      <c r="AA34" s="156">
        <f t="shared" si="9"/>
        <v>0.6982456140350877</v>
      </c>
      <c r="AB34" s="196">
        <f t="shared" si="26"/>
        <v>0.750250982997951</v>
      </c>
      <c r="AC34" s="194">
        <f t="shared" si="11"/>
        <v>93.32464598068978</v>
      </c>
      <c r="AD34" s="195">
        <v>21</v>
      </c>
      <c r="AE34" s="134">
        <v>24</v>
      </c>
      <c r="AF34" s="203">
        <v>-4.8</v>
      </c>
      <c r="AG34" s="156">
        <f t="shared" si="12"/>
        <v>0.45263157894736844</v>
      </c>
      <c r="AH34" s="196">
        <f t="shared" si="27"/>
        <v>0.5303906753237188</v>
      </c>
      <c r="AI34" s="194">
        <f t="shared" si="14"/>
        <v>70.59271074293503</v>
      </c>
      <c r="AJ34" s="195">
        <v>21</v>
      </c>
      <c r="AK34" s="83">
        <v>24</v>
      </c>
      <c r="AL34" s="204">
        <v>-2</v>
      </c>
      <c r="AM34" s="108">
        <f t="shared" si="15"/>
        <v>0.40350877192982454</v>
      </c>
      <c r="AN34" s="19">
        <f t="shared" si="28"/>
        <v>0.4838184037546089</v>
      </c>
      <c r="AO34" s="109">
        <f t="shared" si="17"/>
        <v>65.88641077827687</v>
      </c>
      <c r="AP34" s="173">
        <f>AL34+(21-AL34)*(70-AL34)/(AO34-AL34)</f>
        <v>22.39368912003089</v>
      </c>
      <c r="AQ34" s="83">
        <v>24</v>
      </c>
      <c r="AR34" s="160">
        <v>3.3</v>
      </c>
      <c r="AS34" s="108">
        <f t="shared" si="30"/>
        <v>0.31052631578947365</v>
      </c>
      <c r="AT34" s="19">
        <f t="shared" si="29"/>
        <v>0.3923545818134822</v>
      </c>
      <c r="AU34" s="109">
        <f t="shared" si="31"/>
        <v>56.774543623634415</v>
      </c>
      <c r="AV34" s="173">
        <f>AR34+(21-AR34)*(70-AR34)/(AU34-AR34)</f>
        <v>25.377607773696052</v>
      </c>
      <c r="AW34" s="83">
        <v>24</v>
      </c>
      <c r="AX34" s="160"/>
      <c r="AY34" s="108"/>
      <c r="AZ34" s="19"/>
      <c r="BA34" s="109"/>
      <c r="BB34" s="173"/>
    </row>
    <row r="35" spans="1:54" ht="15" customHeight="1">
      <c r="A35" s="83">
        <v>25</v>
      </c>
      <c r="B35" s="201">
        <v>8</v>
      </c>
      <c r="C35" s="156">
        <f t="shared" si="32"/>
        <v>0.22807017543859648</v>
      </c>
      <c r="D35" s="193">
        <f t="shared" si="33"/>
        <v>0.30651716304225696</v>
      </c>
      <c r="E35" s="194">
        <f t="shared" si="34"/>
        <v>48.40343710604617</v>
      </c>
      <c r="F35" s="195">
        <f t="shared" si="35"/>
        <v>27.948797867976094</v>
      </c>
      <c r="G35" s="83">
        <v>25</v>
      </c>
      <c r="H35" s="202">
        <v>8.4</v>
      </c>
      <c r="I35" s="156">
        <f t="shared" si="22"/>
        <v>0.22105263157894736</v>
      </c>
      <c r="J35" s="196">
        <f t="shared" si="23"/>
        <v>0.29894861901966724</v>
      </c>
      <c r="K35" s="194">
        <f t="shared" si="0"/>
        <v>47.67481375392006</v>
      </c>
      <c r="L35" s="195">
        <f t="shared" si="1"/>
        <v>28.16228340287242</v>
      </c>
      <c r="M35" s="134">
        <v>25</v>
      </c>
      <c r="N35" s="203">
        <v>-13.3</v>
      </c>
      <c r="O35" s="156">
        <f t="shared" si="2"/>
        <v>0.6017543859649123</v>
      </c>
      <c r="P35" s="196">
        <f t="shared" si="24"/>
        <v>0.666093831031927</v>
      </c>
      <c r="Q35" s="194">
        <f t="shared" si="4"/>
        <v>84.53056008214772</v>
      </c>
      <c r="R35" s="195">
        <v>21</v>
      </c>
      <c r="S35" s="134">
        <v>25</v>
      </c>
      <c r="T35" s="203">
        <v>-19.2</v>
      </c>
      <c r="U35" s="156">
        <f t="shared" si="6"/>
        <v>0.7052631578947369</v>
      </c>
      <c r="V35" s="196">
        <f t="shared" si="25"/>
        <v>0.7562771134622848</v>
      </c>
      <c r="W35" s="194">
        <f t="shared" si="8"/>
        <v>93.95841089898315</v>
      </c>
      <c r="X35" s="195">
        <v>21</v>
      </c>
      <c r="Y35" s="134">
        <v>25</v>
      </c>
      <c r="Z35" s="202">
        <v>-14.3</v>
      </c>
      <c r="AA35" s="156">
        <f t="shared" si="9"/>
        <v>0.619298245614035</v>
      </c>
      <c r="AB35" s="196">
        <f t="shared" si="26"/>
        <v>0.681584773465178</v>
      </c>
      <c r="AC35" s="194">
        <f t="shared" si="11"/>
        <v>86.14114777863476</v>
      </c>
      <c r="AD35" s="195">
        <v>21</v>
      </c>
      <c r="AE35" s="134">
        <v>25</v>
      </c>
      <c r="AF35" s="203">
        <v>-3.3</v>
      </c>
      <c r="AG35" s="156">
        <f t="shared" si="12"/>
        <v>0.4263157894736842</v>
      </c>
      <c r="AH35" s="196">
        <f t="shared" si="27"/>
        <v>0.5055744689362536</v>
      </c>
      <c r="AI35" s="194">
        <f t="shared" si="14"/>
        <v>68.07967194484274</v>
      </c>
      <c r="AJ35" s="173">
        <f>AF35+(21-AF35)*(70-AF35)/(AI35-AF35)</f>
        <v>21.653743152201372</v>
      </c>
      <c r="AK35" s="83">
        <v>25</v>
      </c>
      <c r="AL35" s="204">
        <v>-3.8</v>
      </c>
      <c r="AM35" s="108">
        <f t="shared" si="15"/>
        <v>0.43508771929824563</v>
      </c>
      <c r="AN35" s="19">
        <f t="shared" si="28"/>
        <v>0.5138796978837866</v>
      </c>
      <c r="AO35" s="109">
        <f t="shared" si="17"/>
        <v>68.9193908935371</v>
      </c>
      <c r="AP35" s="110">
        <v>21</v>
      </c>
      <c r="AQ35" s="83">
        <v>25</v>
      </c>
      <c r="AR35" s="30">
        <v>6.6</v>
      </c>
      <c r="AS35" s="108">
        <f t="shared" si="30"/>
        <v>0.25263157894736843</v>
      </c>
      <c r="AT35" s="19">
        <f t="shared" si="29"/>
        <v>0.3326519772083395</v>
      </c>
      <c r="AU35" s="109">
        <f t="shared" si="31"/>
        <v>50.93178080883919</v>
      </c>
      <c r="AV35" s="173">
        <f>AR35+(21-AR35)*(70-AR35)/(AU35-AR35)</f>
        <v>27.193803888382654</v>
      </c>
      <c r="AW35" s="83">
        <v>25</v>
      </c>
      <c r="AX35" s="30"/>
      <c r="AY35" s="108"/>
      <c r="AZ35" s="19"/>
      <c r="BA35" s="109"/>
      <c r="BB35" s="110"/>
    </row>
    <row r="36" spans="1:54" ht="13.5" customHeight="1">
      <c r="A36" s="83">
        <v>26</v>
      </c>
      <c r="B36" s="201">
        <v>6</v>
      </c>
      <c r="C36" s="156">
        <f t="shared" si="32"/>
        <v>0.2631578947368421</v>
      </c>
      <c r="D36" s="193">
        <f t="shared" si="33"/>
        <v>0.34369492762363163</v>
      </c>
      <c r="E36" s="194">
        <f t="shared" si="34"/>
        <v>52.00565910148492</v>
      </c>
      <c r="F36" s="195">
        <f t="shared" si="35"/>
        <v>26.8669980769608</v>
      </c>
      <c r="G36" s="83">
        <v>26</v>
      </c>
      <c r="H36" s="202">
        <v>3.2</v>
      </c>
      <c r="I36" s="156">
        <f t="shared" si="22"/>
        <v>0.312280701754386</v>
      </c>
      <c r="J36" s="196">
        <f t="shared" si="23"/>
        <v>0.39412693621779715</v>
      </c>
      <c r="K36" s="194">
        <f t="shared" si="0"/>
        <v>56.94933289318399</v>
      </c>
      <c r="L36" s="195">
        <f t="shared" si="1"/>
        <v>25.321948980519966</v>
      </c>
      <c r="M36" s="134">
        <v>26</v>
      </c>
      <c r="N36" s="203">
        <v>-12.1</v>
      </c>
      <c r="O36" s="156">
        <f t="shared" si="2"/>
        <v>0.5807017543859649</v>
      </c>
      <c r="P36" s="196">
        <f t="shared" si="24"/>
        <v>0.6473848180839789</v>
      </c>
      <c r="Q36" s="194">
        <f t="shared" si="4"/>
        <v>82.59048210163839</v>
      </c>
      <c r="R36" s="195">
        <v>21</v>
      </c>
      <c r="S36" s="134">
        <v>26</v>
      </c>
      <c r="T36" s="203">
        <v>-21.6</v>
      </c>
      <c r="U36" s="156">
        <f t="shared" si="6"/>
        <v>0.7473684210526316</v>
      </c>
      <c r="V36" s="196">
        <f t="shared" si="25"/>
        <v>0.7921871523209874</v>
      </c>
      <c r="W36" s="194">
        <f t="shared" si="8"/>
        <v>97.7458256572144</v>
      </c>
      <c r="X36" s="195">
        <v>21</v>
      </c>
      <c r="Y36" s="134">
        <v>26</v>
      </c>
      <c r="Z36" s="202">
        <v>-12.7</v>
      </c>
      <c r="AA36" s="156">
        <f t="shared" si="9"/>
        <v>0.5912280701754387</v>
      </c>
      <c r="AB36" s="196">
        <f t="shared" si="26"/>
        <v>0.6567559804160439</v>
      </c>
      <c r="AC36" s="194">
        <f t="shared" si="11"/>
        <v>83.56154542716564</v>
      </c>
      <c r="AD36" s="195">
        <v>21</v>
      </c>
      <c r="AE36" s="134">
        <v>26</v>
      </c>
      <c r="AF36" s="203">
        <v>-6.8</v>
      </c>
      <c r="AG36" s="156">
        <f t="shared" si="12"/>
        <v>0.48771929824561405</v>
      </c>
      <c r="AH36" s="196">
        <f t="shared" si="27"/>
        <v>0.5630357252467882</v>
      </c>
      <c r="AI36" s="194">
        <f t="shared" si="14"/>
        <v>73.916170786888</v>
      </c>
      <c r="AJ36" s="195">
        <v>21</v>
      </c>
      <c r="AK36" s="83">
        <v>26</v>
      </c>
      <c r="AL36" s="206">
        <v>-4.9</v>
      </c>
      <c r="AM36" s="108">
        <f t="shared" si="15"/>
        <v>0.45438596491228067</v>
      </c>
      <c r="AN36" s="19">
        <f t="shared" si="28"/>
        <v>0.5320346611084942</v>
      </c>
      <c r="AO36" s="109">
        <f t="shared" si="17"/>
        <v>70.75960534238291</v>
      </c>
      <c r="AP36" s="110">
        <v>21</v>
      </c>
      <c r="AQ36" s="83">
        <v>26</v>
      </c>
      <c r="AR36" s="30">
        <v>13</v>
      </c>
      <c r="AS36" s="108">
        <f t="shared" si="30"/>
        <v>0.14035087719298245</v>
      </c>
      <c r="AT36" s="19">
        <f t="shared" si="29"/>
        <v>0.20786056577450696</v>
      </c>
      <c r="AU36" s="109">
        <f t="shared" si="31"/>
        <v>39.04658268986902</v>
      </c>
      <c r="AV36" s="173">
        <f>AR36+(21-AR36)*(70-AR36)/(AU36-AR36)</f>
        <v>30.50709509302977</v>
      </c>
      <c r="AW36" s="83">
        <v>26</v>
      </c>
      <c r="AX36" s="30"/>
      <c r="AY36" s="108"/>
      <c r="AZ36" s="19"/>
      <c r="BA36" s="109"/>
      <c r="BB36" s="110"/>
    </row>
    <row r="37" spans="1:54" ht="13.5" customHeight="1">
      <c r="A37" s="83">
        <v>27</v>
      </c>
      <c r="B37" s="201">
        <v>3</v>
      </c>
      <c r="C37" s="156">
        <f t="shared" si="32"/>
        <v>0.3157894736842105</v>
      </c>
      <c r="D37" s="193">
        <f t="shared" si="33"/>
        <v>0.39766568745411734</v>
      </c>
      <c r="E37" s="194">
        <f t="shared" si="34"/>
        <v>57.29854504158611</v>
      </c>
      <c r="F37" s="195">
        <f t="shared" si="35"/>
        <v>25.210539878671703</v>
      </c>
      <c r="G37" s="83">
        <v>27</v>
      </c>
      <c r="H37" s="202">
        <v>-0.5</v>
      </c>
      <c r="I37" s="156">
        <f t="shared" si="22"/>
        <v>0.37719298245614036</v>
      </c>
      <c r="J37" s="196">
        <f t="shared" si="23"/>
        <v>0.4584066227455632</v>
      </c>
      <c r="K37" s="194">
        <f t="shared" si="0"/>
        <v>63.33674414095739</v>
      </c>
      <c r="L37" s="195">
        <f t="shared" si="1"/>
        <v>23.244162087168558</v>
      </c>
      <c r="M37" s="134">
        <v>27</v>
      </c>
      <c r="N37" s="203">
        <v>-5.4</v>
      </c>
      <c r="O37" s="156">
        <f t="shared" si="2"/>
        <v>0.4631578947368421</v>
      </c>
      <c r="P37" s="196">
        <f t="shared" si="24"/>
        <v>0.5402356713820106</v>
      </c>
      <c r="Q37" s="194">
        <f t="shared" si="4"/>
        <v>71.59291484262522</v>
      </c>
      <c r="R37" s="195">
        <v>21</v>
      </c>
      <c r="S37" s="134">
        <v>27</v>
      </c>
      <c r="T37" s="203">
        <v>-14.6</v>
      </c>
      <c r="U37" s="156">
        <f t="shared" si="6"/>
        <v>0.624561403508772</v>
      </c>
      <c r="V37" s="196">
        <f t="shared" si="25"/>
        <v>0.6862148526691579</v>
      </c>
      <c r="W37" s="194">
        <f t="shared" si="8"/>
        <v>86.62326607073216</v>
      </c>
      <c r="X37" s="195">
        <v>21</v>
      </c>
      <c r="Y37" s="134">
        <v>27</v>
      </c>
      <c r="Z37" s="202">
        <v>-13</v>
      </c>
      <c r="AA37" s="156">
        <f t="shared" si="9"/>
        <v>0.5964912280701754</v>
      </c>
      <c r="AB37" s="196">
        <f t="shared" si="26"/>
        <v>0.6614290254216969</v>
      </c>
      <c r="AC37" s="194">
        <f t="shared" si="11"/>
        <v>84.04630611606594</v>
      </c>
      <c r="AD37" s="195">
        <v>21</v>
      </c>
      <c r="AE37" s="134">
        <v>27</v>
      </c>
      <c r="AF37" s="203">
        <v>-7.9</v>
      </c>
      <c r="AG37" s="156">
        <f t="shared" si="12"/>
        <v>0.5070175438596491</v>
      </c>
      <c r="AH37" s="196">
        <f t="shared" si="27"/>
        <v>0.5807890097990208</v>
      </c>
      <c r="AI37" s="194">
        <f t="shared" si="14"/>
        <v>75.73168199737663</v>
      </c>
      <c r="AJ37" s="195">
        <v>21</v>
      </c>
      <c r="AK37" s="83">
        <v>27</v>
      </c>
      <c r="AL37" s="204">
        <v>-5.7</v>
      </c>
      <c r="AM37" s="108">
        <f t="shared" si="15"/>
        <v>0.46842105263157896</v>
      </c>
      <c r="AN37" s="19">
        <f t="shared" si="28"/>
        <v>0.5451413490217276</v>
      </c>
      <c r="AO37" s="109">
        <f t="shared" si="17"/>
        <v>72.09198243852046</v>
      </c>
      <c r="AP37" s="110">
        <v>21</v>
      </c>
      <c r="AQ37" s="83"/>
      <c r="AR37" s="30"/>
      <c r="AS37" s="108"/>
      <c r="AT37" s="19"/>
      <c r="AU37" s="109"/>
      <c r="AV37" s="173"/>
      <c r="AW37" s="83">
        <v>27</v>
      </c>
      <c r="AX37" s="30"/>
      <c r="AY37" s="108"/>
      <c r="AZ37" s="19"/>
      <c r="BA37" s="109"/>
      <c r="BB37" s="110"/>
    </row>
    <row r="38" spans="1:54" ht="15" customHeight="1">
      <c r="A38" s="107">
        <v>28</v>
      </c>
      <c r="B38" s="201">
        <v>2.9</v>
      </c>
      <c r="C38" s="156">
        <f t="shared" si="32"/>
        <v>0.31754385964912285</v>
      </c>
      <c r="D38" s="193">
        <f t="shared" si="33"/>
        <v>0.3994321107942183</v>
      </c>
      <c r="E38" s="194">
        <f t="shared" si="34"/>
        <v>57.472969550686535</v>
      </c>
      <c r="F38" s="195">
        <f t="shared" si="35"/>
        <v>25.154790420960722</v>
      </c>
      <c r="G38" s="83">
        <v>28</v>
      </c>
      <c r="H38" s="202">
        <v>2.9</v>
      </c>
      <c r="I38" s="156">
        <f t="shared" si="22"/>
        <v>0.31754385964912285</v>
      </c>
      <c r="J38" s="196">
        <f t="shared" si="23"/>
        <v>0.3994321107942183</v>
      </c>
      <c r="K38" s="194">
        <f t="shared" si="0"/>
        <v>57.472969550686535</v>
      </c>
      <c r="L38" s="195">
        <f t="shared" si="1"/>
        <v>25.154790420960722</v>
      </c>
      <c r="M38" s="134">
        <v>28</v>
      </c>
      <c r="N38" s="203">
        <v>-6.9</v>
      </c>
      <c r="O38" s="156">
        <f t="shared" si="2"/>
        <v>0.4894736842105263</v>
      </c>
      <c r="P38" s="196">
        <f t="shared" si="24"/>
        <v>0.5646553899525334</v>
      </c>
      <c r="Q38" s="194">
        <f t="shared" si="4"/>
        <v>74.08156963997554</v>
      </c>
      <c r="R38" s="195">
        <v>21</v>
      </c>
      <c r="S38" s="134">
        <v>28</v>
      </c>
      <c r="T38" s="203">
        <v>-7.8</v>
      </c>
      <c r="U38" s="156">
        <f t="shared" si="6"/>
        <v>0.5052631578947369</v>
      </c>
      <c r="V38" s="196">
        <f t="shared" si="25"/>
        <v>0.5791807322805789</v>
      </c>
      <c r="W38" s="194">
        <f t="shared" si="8"/>
        <v>75.56698345630824</v>
      </c>
      <c r="X38" s="195">
        <v>21</v>
      </c>
      <c r="Y38" s="134">
        <v>28</v>
      </c>
      <c r="Z38" s="202">
        <v>-11</v>
      </c>
      <c r="AA38" s="156">
        <f t="shared" si="9"/>
        <v>0.5614035087719298</v>
      </c>
      <c r="AB38" s="196">
        <f t="shared" si="26"/>
        <v>0.630115406137289</v>
      </c>
      <c r="AC38" s="194">
        <f t="shared" si="11"/>
        <v>80.80472905639064</v>
      </c>
      <c r="AD38" s="195">
        <v>21</v>
      </c>
      <c r="AE38" s="134">
        <v>28</v>
      </c>
      <c r="AF38" s="203">
        <v>-10.5</v>
      </c>
      <c r="AG38" s="156">
        <f t="shared" si="12"/>
        <v>0.5526315789473685</v>
      </c>
      <c r="AH38" s="196">
        <f t="shared" si="27"/>
        <v>0.6222265790329616</v>
      </c>
      <c r="AI38" s="194">
        <f t="shared" si="14"/>
        <v>79.99061882105346</v>
      </c>
      <c r="AJ38" s="195">
        <v>21</v>
      </c>
      <c r="AK38" s="83">
        <v>28</v>
      </c>
      <c r="AL38" s="204">
        <v>-2.2</v>
      </c>
      <c r="AM38" s="108">
        <f t="shared" si="15"/>
        <v>0.4070175438596491</v>
      </c>
      <c r="AN38" s="19">
        <f t="shared" si="28"/>
        <v>0.48718118043971603</v>
      </c>
      <c r="AO38" s="109">
        <f t="shared" si="17"/>
        <v>66.22480049177938</v>
      </c>
      <c r="AP38" s="173">
        <f>AL38+(21-AL38)*(70-AL38)/(AO38-AL38)</f>
        <v>22.280012918725877</v>
      </c>
      <c r="AQ38" s="83"/>
      <c r="AR38" s="160"/>
      <c r="AS38" s="108"/>
      <c r="AT38" s="19"/>
      <c r="AU38" s="109"/>
      <c r="AV38" s="173"/>
      <c r="AW38" s="83">
        <v>28</v>
      </c>
      <c r="AX38" s="160"/>
      <c r="AY38" s="108"/>
      <c r="AZ38" s="19"/>
      <c r="BA38" s="109"/>
      <c r="BB38" s="110"/>
    </row>
    <row r="39" spans="1:54" ht="14.25" customHeight="1">
      <c r="A39" s="107">
        <v>29</v>
      </c>
      <c r="B39" s="201">
        <v>4.5</v>
      </c>
      <c r="C39" s="156">
        <f>1*(21-B39)/(21+36)</f>
        <v>0.2894736842105263</v>
      </c>
      <c r="D39" s="193">
        <f>POWER(C39,0.8)</f>
        <v>0.37092599541672927</v>
      </c>
      <c r="E39" s="194">
        <f>21+(120-0.5*95-0.5*70)*C39+0.5*(95+70-2*21)*D39</f>
        <v>54.667211876023586</v>
      </c>
      <c r="F39" s="195">
        <f>B39+(21-B39)*(70-B39)/(E39-B39)</f>
        <v>26.042955240781936</v>
      </c>
      <c r="G39" s="83">
        <v>29</v>
      </c>
      <c r="H39" s="202">
        <v>2.2</v>
      </c>
      <c r="I39" s="156">
        <f t="shared" si="22"/>
        <v>0.3298245614035088</v>
      </c>
      <c r="J39" s="196">
        <f t="shared" si="23"/>
        <v>0.41174316151740087</v>
      </c>
      <c r="K39" s="194">
        <f t="shared" si="0"/>
        <v>58.690625485951735</v>
      </c>
      <c r="L39" s="195">
        <f t="shared" si="1"/>
        <v>24.76374378996709</v>
      </c>
      <c r="M39" s="134">
        <v>29</v>
      </c>
      <c r="N39" s="203">
        <v>-6.5</v>
      </c>
      <c r="O39" s="156">
        <f t="shared" si="2"/>
        <v>0.4824561403508772</v>
      </c>
      <c r="P39" s="196">
        <f t="shared" si="24"/>
        <v>0.5581697169924091</v>
      </c>
      <c r="Q39" s="194">
        <f t="shared" si="4"/>
        <v>73.41954285819105</v>
      </c>
      <c r="R39" s="195">
        <v>21</v>
      </c>
      <c r="S39" s="134">
        <v>29</v>
      </c>
      <c r="T39" s="203">
        <v>-14.9</v>
      </c>
      <c r="U39" s="156">
        <f t="shared" si="6"/>
        <v>0.6298245614035087</v>
      </c>
      <c r="V39" s="196">
        <f t="shared" si="25"/>
        <v>0.6908371348397279</v>
      </c>
      <c r="W39" s="194">
        <f t="shared" si="8"/>
        <v>87.10490484527483</v>
      </c>
      <c r="X39" s="195">
        <v>21</v>
      </c>
      <c r="Y39" s="134">
        <v>29</v>
      </c>
      <c r="Z39" s="202">
        <v>-12.8</v>
      </c>
      <c r="AA39" s="156">
        <f t="shared" si="9"/>
        <v>0.5929824561403508</v>
      </c>
      <c r="AB39" s="196">
        <f t="shared" si="26"/>
        <v>0.6583145829757452</v>
      </c>
      <c r="AC39" s="194">
        <f t="shared" si="11"/>
        <v>83.72318895827149</v>
      </c>
      <c r="AD39" s="195">
        <v>21</v>
      </c>
      <c r="AE39" s="134"/>
      <c r="AF39" s="199"/>
      <c r="AG39" s="156"/>
      <c r="AH39" s="196"/>
      <c r="AI39" s="194"/>
      <c r="AJ39" s="195"/>
      <c r="AK39" s="83">
        <v>29</v>
      </c>
      <c r="AL39" s="204">
        <v>0.7</v>
      </c>
      <c r="AM39" s="108">
        <f t="shared" si="15"/>
        <v>0.356140350877193</v>
      </c>
      <c r="AN39" s="19">
        <f t="shared" si="28"/>
        <v>0.43782136011056677</v>
      </c>
      <c r="AO39" s="109">
        <f t="shared" si="17"/>
        <v>61.2812768046946</v>
      </c>
      <c r="AP39" s="195">
        <f>AL39+(21-AL39)*(70-AL39)/(AO39-AL39)</f>
        <v>23.921531043911312</v>
      </c>
      <c r="AQ39" s="83"/>
      <c r="AR39" s="160"/>
      <c r="AS39" s="108"/>
      <c r="AT39" s="19"/>
      <c r="AU39" s="109"/>
      <c r="AV39" s="173"/>
      <c r="AW39" s="83">
        <v>29</v>
      </c>
      <c r="AX39" s="160"/>
      <c r="AY39" s="108"/>
      <c r="AZ39" s="19"/>
      <c r="BA39" s="109"/>
      <c r="BB39" s="110"/>
    </row>
    <row r="40" spans="1:54" ht="15" customHeight="1">
      <c r="A40" s="107">
        <v>30</v>
      </c>
      <c r="B40" s="201">
        <v>4.6</v>
      </c>
      <c r="C40" s="156">
        <f>1*(21-B40)/(21+36)</f>
        <v>0.287719298245614</v>
      </c>
      <c r="D40" s="193">
        <f>POWER(C40,0.8)</f>
        <v>0.3691264737398687</v>
      </c>
      <c r="E40" s="194">
        <f>21+(120-0.5*95-0.5*70)*C40+0.5*(95+70-2*21)*D40</f>
        <v>54.49075181921245</v>
      </c>
      <c r="F40" s="195">
        <f>B40+(21-B40)*(70-B40)/(E40-B40)</f>
        <v>26.098172725209714</v>
      </c>
      <c r="G40" s="83">
        <v>30</v>
      </c>
      <c r="H40" s="202">
        <v>-1.5</v>
      </c>
      <c r="I40" s="156">
        <f t="shared" si="22"/>
        <v>0.39473684210526316</v>
      </c>
      <c r="J40" s="196">
        <f t="shared" si="23"/>
        <v>0.47538571784683586</v>
      </c>
      <c r="K40" s="194">
        <f t="shared" si="0"/>
        <v>65.03885322652778</v>
      </c>
      <c r="L40" s="195">
        <f t="shared" si="1"/>
        <v>22.67760333985771</v>
      </c>
      <c r="M40" s="134">
        <v>30</v>
      </c>
      <c r="N40" s="203">
        <v>-8.4</v>
      </c>
      <c r="O40" s="156">
        <f t="shared" si="2"/>
        <v>0.5157894736842105</v>
      </c>
      <c r="P40" s="196">
        <f t="shared" si="24"/>
        <v>0.5888137997351475</v>
      </c>
      <c r="Q40" s="194">
        <f t="shared" si="4"/>
        <v>76.55415394686946</v>
      </c>
      <c r="R40" s="195">
        <v>21</v>
      </c>
      <c r="S40" s="134">
        <v>30</v>
      </c>
      <c r="T40" s="203">
        <v>-19.1</v>
      </c>
      <c r="U40" s="156">
        <f t="shared" si="6"/>
        <v>0.7035087719298246</v>
      </c>
      <c r="V40" s="196">
        <f t="shared" si="25"/>
        <v>0.7547717096223908</v>
      </c>
      <c r="W40" s="194">
        <f t="shared" si="8"/>
        <v>93.80003908914546</v>
      </c>
      <c r="X40" s="195">
        <v>21</v>
      </c>
      <c r="Y40" s="134">
        <v>30</v>
      </c>
      <c r="Z40" s="202">
        <v>-12.2</v>
      </c>
      <c r="AA40" s="156">
        <f t="shared" si="9"/>
        <v>0.5824561403508772</v>
      </c>
      <c r="AB40" s="196">
        <f t="shared" si="26"/>
        <v>0.6489490222398961</v>
      </c>
      <c r="AC40" s="194">
        <f t="shared" si="11"/>
        <v>82.75247013091152</v>
      </c>
      <c r="AD40" s="195">
        <v>21</v>
      </c>
      <c r="AE40" s="83"/>
      <c r="AF40" s="18"/>
      <c r="AG40" s="18"/>
      <c r="AH40" s="18"/>
      <c r="AI40" s="18"/>
      <c r="AJ40" s="84"/>
      <c r="AK40" s="83">
        <v>30</v>
      </c>
      <c r="AL40" s="204">
        <v>0.2</v>
      </c>
      <c r="AM40" s="108">
        <f t="shared" si="15"/>
        <v>0.3649122807017544</v>
      </c>
      <c r="AN40" s="19">
        <f t="shared" si="28"/>
        <v>0.44642733971827336</v>
      </c>
      <c r="AO40" s="109">
        <f t="shared" si="17"/>
        <v>62.139491918989606</v>
      </c>
      <c r="AP40" s="195">
        <f>AL40+(21-AL40)*(70-AL40)/(AO40-AL40)</f>
        <v>23.639649810154324</v>
      </c>
      <c r="AQ40" s="83"/>
      <c r="AR40" s="160"/>
      <c r="AS40" s="108"/>
      <c r="AT40" s="19"/>
      <c r="AU40" s="109"/>
      <c r="AV40" s="173"/>
      <c r="AW40" s="83">
        <v>30</v>
      </c>
      <c r="AX40" s="160"/>
      <c r="AY40" s="108"/>
      <c r="AZ40" s="19"/>
      <c r="BA40" s="109"/>
      <c r="BB40" s="110"/>
    </row>
    <row r="41" spans="1:54" ht="14.25" customHeight="1">
      <c r="A41" s="83"/>
      <c r="B41" s="18"/>
      <c r="C41" s="19"/>
      <c r="D41" s="19"/>
      <c r="E41" s="20"/>
      <c r="F41" s="85"/>
      <c r="G41" s="83">
        <v>31</v>
      </c>
      <c r="H41" s="202">
        <v>0.7</v>
      </c>
      <c r="I41" s="156">
        <f t="shared" si="22"/>
        <v>0.356140350877193</v>
      </c>
      <c r="J41" s="196">
        <f t="shared" si="23"/>
        <v>0.43782136011056677</v>
      </c>
      <c r="K41" s="194">
        <f t="shared" si="0"/>
        <v>61.2812768046946</v>
      </c>
      <c r="L41" s="195">
        <f t="shared" si="1"/>
        <v>23.921531043911312</v>
      </c>
      <c r="M41" s="83"/>
      <c r="N41" s="136"/>
      <c r="O41" s="18"/>
      <c r="P41" s="18"/>
      <c r="Q41" s="20"/>
      <c r="R41" s="85"/>
      <c r="S41" s="134">
        <v>31</v>
      </c>
      <c r="T41" s="203">
        <v>-13.7</v>
      </c>
      <c r="U41" s="156">
        <f t="shared" si="6"/>
        <v>0.6087719298245614</v>
      </c>
      <c r="V41" s="196">
        <f>POWER(U41,0.8)</f>
        <v>0.672300904110829</v>
      </c>
      <c r="W41" s="194">
        <f>21+(120-0.5*95-0.5*70)*U41+0.5*(95+70-2*21)*V41</f>
        <v>85.17545297123704</v>
      </c>
      <c r="X41" s="195">
        <v>21</v>
      </c>
      <c r="Y41" s="134">
        <v>31</v>
      </c>
      <c r="Z41" s="202">
        <v>-8.7</v>
      </c>
      <c r="AA41" s="156">
        <f t="shared" si="9"/>
        <v>0.5210526315789473</v>
      </c>
      <c r="AB41" s="196">
        <f>POWER(AA41,0.8)</f>
        <v>0.593615558167982</v>
      </c>
      <c r="AC41" s="194">
        <f>21+(120-0.5*95-0.5*70)*AA41+0.5*(95+70-2*21)*AB41</f>
        <v>77.0468305115414</v>
      </c>
      <c r="AD41" s="198">
        <v>21</v>
      </c>
      <c r="AE41" s="83"/>
      <c r="AF41" s="18"/>
      <c r="AG41" s="18"/>
      <c r="AH41" s="18"/>
      <c r="AI41" s="18"/>
      <c r="AJ41" s="84"/>
      <c r="AK41" s="83">
        <v>31</v>
      </c>
      <c r="AL41" s="204">
        <v>3.9</v>
      </c>
      <c r="AM41" s="108">
        <f t="shared" si="15"/>
        <v>0.30000000000000004</v>
      </c>
      <c r="AN41" s="19">
        <f>POWER(AM41,0.8)</f>
        <v>0.38167789096181765</v>
      </c>
      <c r="AO41" s="109">
        <f>21+(120-0.5*95-0.5*70)*AM41+0.5*(95+70-2*21)*AN41</f>
        <v>55.723190294151784</v>
      </c>
      <c r="AP41" s="110">
        <v>21</v>
      </c>
      <c r="AQ41" s="83"/>
      <c r="AR41" s="18"/>
      <c r="AS41" s="18"/>
      <c r="AT41" s="18"/>
      <c r="AU41" s="18"/>
      <c r="AV41" s="84"/>
      <c r="AW41" s="83"/>
      <c r="AX41" s="18"/>
      <c r="AY41" s="18"/>
      <c r="AZ41" s="18"/>
      <c r="BA41" s="18"/>
      <c r="BB41" s="84"/>
    </row>
    <row r="42" spans="1:54" ht="13.5" thickBot="1">
      <c r="A42" s="86" t="s">
        <v>8</v>
      </c>
      <c r="B42" s="87">
        <f>SUM(B11:B41)</f>
        <v>44.4</v>
      </c>
      <c r="C42" s="87"/>
      <c r="D42" s="87"/>
      <c r="E42" s="88"/>
      <c r="F42" s="89">
        <f>SUM(F11:F41)</f>
        <v>236.48352777589506</v>
      </c>
      <c r="G42" s="86" t="s">
        <v>8</v>
      </c>
      <c r="H42" s="87">
        <f>SUM(H11:H41)</f>
        <v>139.7</v>
      </c>
      <c r="I42" s="87"/>
      <c r="J42" s="87"/>
      <c r="K42" s="88"/>
      <c r="L42" s="89">
        <f>SUM(L11:L41)</f>
        <v>806.8338298346495</v>
      </c>
      <c r="M42" s="86" t="s">
        <v>8</v>
      </c>
      <c r="N42" s="87">
        <f>SUM(N11:N41)</f>
        <v>-176.10000000000002</v>
      </c>
      <c r="O42" s="87"/>
      <c r="P42" s="87"/>
      <c r="Q42" s="87"/>
      <c r="R42" s="89">
        <f>SUM(R11:R41)</f>
        <v>659.384623613256</v>
      </c>
      <c r="S42" s="86" t="s">
        <v>8</v>
      </c>
      <c r="T42" s="137">
        <f>SUM(T11:T41)</f>
        <v>-263.4</v>
      </c>
      <c r="U42" s="87"/>
      <c r="V42" s="87"/>
      <c r="W42" s="87"/>
      <c r="X42" s="89">
        <f>SUM(X11:X41)</f>
        <v>666.1192393480039</v>
      </c>
      <c r="Y42" s="86" t="s">
        <v>8</v>
      </c>
      <c r="Z42" s="137">
        <f>SUM(Z11:Z41)</f>
        <v>-362.2</v>
      </c>
      <c r="AA42" s="87"/>
      <c r="AB42" s="87"/>
      <c r="AC42" s="87"/>
      <c r="AD42" s="90">
        <f>SUM(AD11:AD41)</f>
        <v>654.6346928037108</v>
      </c>
      <c r="AE42" s="86" t="s">
        <v>8</v>
      </c>
      <c r="AF42" s="88">
        <f>SUM(AF11:AF41)</f>
        <v>-257.6000000000001</v>
      </c>
      <c r="AG42" s="87"/>
      <c r="AH42" s="87"/>
      <c r="AI42" s="87"/>
      <c r="AJ42" s="89">
        <f>SUM(AJ11:AJ41)</f>
        <v>588.6537431522014</v>
      </c>
      <c r="AK42" s="86" t="s">
        <v>8</v>
      </c>
      <c r="AL42" s="88">
        <f>SUM(AL11:AL41)</f>
        <v>-264.59999999999997</v>
      </c>
      <c r="AM42" s="91"/>
      <c r="AN42" s="91"/>
      <c r="AO42" s="88"/>
      <c r="AP42" s="89">
        <f>SUM(AP11:AP41)</f>
        <v>661.1121322682149</v>
      </c>
      <c r="AQ42" s="86" t="s">
        <v>8</v>
      </c>
      <c r="AR42" s="87">
        <f>SUM(AR11:AR41)</f>
        <v>200</v>
      </c>
      <c r="AS42" s="87"/>
      <c r="AT42" s="87"/>
      <c r="AU42" s="87"/>
      <c r="AV42" s="89">
        <f>SUM(AV11:AV41)</f>
        <v>720.9679426843968</v>
      </c>
      <c r="AW42" s="86" t="s">
        <v>8</v>
      </c>
      <c r="AX42" s="87">
        <f>SUM(AX11:AX41)</f>
        <v>0</v>
      </c>
      <c r="AY42" s="87"/>
      <c r="AZ42" s="87"/>
      <c r="BA42" s="87"/>
      <c r="BB42" s="89">
        <f>SUM(BB11:BB41)</f>
        <v>0</v>
      </c>
    </row>
    <row r="43" spans="7:18" ht="12.75">
      <c r="G43" t="s">
        <v>19</v>
      </c>
      <c r="R43" s="70"/>
    </row>
    <row r="44" spans="7:11" ht="32.25" customHeight="1">
      <c r="G44" s="21" t="s">
        <v>0</v>
      </c>
      <c r="H44" s="9" t="s">
        <v>20</v>
      </c>
      <c r="I44" s="21" t="s">
        <v>31</v>
      </c>
      <c r="J44" s="21" t="s">
        <v>32</v>
      </c>
      <c r="K44" s="9" t="s">
        <v>33</v>
      </c>
    </row>
    <row r="45" spans="7:23" ht="12.75">
      <c r="G45" s="200">
        <v>2021</v>
      </c>
      <c r="H45" s="18"/>
      <c r="I45" s="18"/>
      <c r="J45" s="18"/>
      <c r="K45" s="18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</row>
    <row r="46" spans="7:23" ht="12.75">
      <c r="G46" s="208" t="s">
        <v>48</v>
      </c>
      <c r="H46" s="197">
        <v>9</v>
      </c>
      <c r="I46" s="155">
        <f>B42/H46</f>
        <v>4.933333333333334</v>
      </c>
      <c r="J46" s="156">
        <f>F42/H46</f>
        <v>26.275947530655007</v>
      </c>
      <c r="K46" s="157">
        <f>0.201348*(J46-I46)/(J58+7.4)*H46/217</f>
        <v>0.005907554173512489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</row>
    <row r="47" spans="7:23" ht="12.75">
      <c r="G47" s="209" t="s">
        <v>5</v>
      </c>
      <c r="H47" s="140">
        <v>31</v>
      </c>
      <c r="I47" s="158">
        <f>H42/H47</f>
        <v>4.506451612903225</v>
      </c>
      <c r="J47" s="159">
        <f>L42/H47</f>
        <v>26.026897736601594</v>
      </c>
      <c r="K47" s="157">
        <f>0.201348*(J47-I47)/(J58+7.4)*H47/217</f>
        <v>0.020517788726419017</v>
      </c>
      <c r="M47" s="147"/>
      <c r="N47" s="148"/>
      <c r="O47" s="148"/>
      <c r="P47" s="147"/>
      <c r="Q47" s="147"/>
      <c r="R47" s="147"/>
      <c r="S47" s="147"/>
      <c r="T47" s="147"/>
      <c r="U47" s="147"/>
      <c r="V47" s="147"/>
      <c r="W47" s="147"/>
    </row>
    <row r="48" spans="7:23" ht="12.75">
      <c r="G48" s="209" t="s">
        <v>6</v>
      </c>
      <c r="H48" s="140">
        <v>30</v>
      </c>
      <c r="I48" s="158">
        <f>N42/H48</f>
        <v>-5.870000000000001</v>
      </c>
      <c r="J48" s="159">
        <f>R42/H48</f>
        <v>21.979487453775203</v>
      </c>
      <c r="K48" s="157">
        <f>0.201348*(J48-I48)/(J58+7.4)*H48/217</f>
        <v>0.025695439542793463</v>
      </c>
      <c r="M48" s="147"/>
      <c r="P48" s="147"/>
      <c r="Q48" s="147"/>
      <c r="R48" s="147"/>
      <c r="S48" s="147"/>
      <c r="T48" s="147"/>
      <c r="U48" s="147"/>
      <c r="V48" s="147"/>
      <c r="W48" s="147"/>
    </row>
    <row r="49" spans="7:23" ht="12.75">
      <c r="G49" s="209" t="s">
        <v>7</v>
      </c>
      <c r="H49" s="140">
        <v>31</v>
      </c>
      <c r="I49" s="158">
        <f>T42/H49</f>
        <v>-8.496774193548386</v>
      </c>
      <c r="J49" s="159">
        <f>X42/H49</f>
        <v>21.487717398322708</v>
      </c>
      <c r="K49" s="157">
        <f>0.201348*(J49-I49)/(J58+7.4)*H49/217</f>
        <v>0.028587486523972278</v>
      </c>
      <c r="M49" s="147"/>
      <c r="O49" s="148"/>
      <c r="P49" s="147"/>
      <c r="Q49" s="147"/>
      <c r="R49" s="147"/>
      <c r="S49" s="147"/>
      <c r="T49" s="147"/>
      <c r="U49" s="147"/>
      <c r="V49" s="147"/>
      <c r="W49" s="147"/>
    </row>
    <row r="50" spans="7:23" ht="12.75">
      <c r="G50" s="200">
        <v>2022</v>
      </c>
      <c r="H50" s="140"/>
      <c r="I50" s="69"/>
      <c r="J50" s="20"/>
      <c r="K50" s="111"/>
      <c r="M50" s="147"/>
      <c r="P50" s="147"/>
      <c r="Q50" s="147"/>
      <c r="R50" s="147"/>
      <c r="S50" s="147"/>
      <c r="T50" s="147"/>
      <c r="U50" s="147"/>
      <c r="V50" s="147"/>
      <c r="W50" s="147"/>
    </row>
    <row r="51" spans="7:23" ht="12.75">
      <c r="G51" s="139" t="s">
        <v>1</v>
      </c>
      <c r="H51" s="140">
        <v>31</v>
      </c>
      <c r="I51" s="158">
        <f>Z42/H51</f>
        <v>-11.683870967741935</v>
      </c>
      <c r="J51" s="159">
        <f>AD42/H51</f>
        <v>21.11724815495841</v>
      </c>
      <c r="K51" s="157">
        <f>0.201348*(J51-I51)/(J58+7.4)*H51/217</f>
        <v>0.031272884785067345</v>
      </c>
      <c r="M51" s="147"/>
      <c r="O51" s="148"/>
      <c r="P51" s="147"/>
      <c r="Q51" s="147"/>
      <c r="R51" s="147"/>
      <c r="S51" s="147"/>
      <c r="T51" s="147"/>
      <c r="U51" s="147"/>
      <c r="V51" s="147"/>
      <c r="W51" s="147"/>
    </row>
    <row r="52" spans="7:23" ht="12.75">
      <c r="G52" s="139" t="s">
        <v>2</v>
      </c>
      <c r="H52" s="140">
        <v>28</v>
      </c>
      <c r="I52" s="158">
        <f>AF42/H52</f>
        <v>-9.200000000000003</v>
      </c>
      <c r="J52" s="159">
        <f>AJ42/H52</f>
        <v>21.023347969721478</v>
      </c>
      <c r="K52" s="157">
        <f>0.201348*(J52-I52)/(J58+7.4)*H52/217</f>
        <v>0.026026645231349836</v>
      </c>
      <c r="M52" s="147"/>
      <c r="N52" s="7"/>
      <c r="P52" s="147"/>
      <c r="Q52" s="147"/>
      <c r="R52" s="147"/>
      <c r="S52" s="147"/>
      <c r="T52" s="147"/>
      <c r="U52" s="147"/>
      <c r="V52" s="147"/>
      <c r="W52" s="147"/>
    </row>
    <row r="53" spans="7:23" ht="12.75">
      <c r="G53" s="139" t="s">
        <v>3</v>
      </c>
      <c r="H53" s="140">
        <v>31</v>
      </c>
      <c r="I53" s="158">
        <f>AL42/H53</f>
        <v>-8.535483870967742</v>
      </c>
      <c r="J53" s="159">
        <f>AP42/H53</f>
        <v>21.326197815103704</v>
      </c>
      <c r="K53" s="157">
        <f>0.201348*(J53-I53)/(J58+7.4)*H53/217</f>
        <v>0.02847039844474636</v>
      </c>
      <c r="M53" s="147"/>
      <c r="O53" s="148"/>
      <c r="P53" s="147"/>
      <c r="Q53" s="147"/>
      <c r="R53" s="147"/>
      <c r="S53" s="147"/>
      <c r="T53" s="147"/>
      <c r="U53" s="147"/>
      <c r="V53" s="147"/>
      <c r="W53" s="147"/>
    </row>
    <row r="54" spans="7:23" ht="12.75">
      <c r="G54" s="182" t="s">
        <v>4</v>
      </c>
      <c r="H54" s="18">
        <v>26</v>
      </c>
      <c r="I54" s="69">
        <f>AR42/H54</f>
        <v>7.6923076923076925</v>
      </c>
      <c r="J54" s="20">
        <f>AV42/H54</f>
        <v>27.729536257092185</v>
      </c>
      <c r="K54" s="157">
        <f>0.201348*(J54-I54)/(J58+7.4)*H54/217</f>
        <v>0.01602243763276844</v>
      </c>
      <c r="M54" s="147"/>
      <c r="P54" s="147"/>
      <c r="Q54" s="147"/>
      <c r="R54" s="147"/>
      <c r="S54" s="147"/>
      <c r="T54" s="147"/>
      <c r="U54" s="147"/>
      <c r="V54" s="147"/>
      <c r="W54" s="147"/>
    </row>
    <row r="55" spans="7:23" ht="13.5" thickBot="1">
      <c r="G55" s="183" t="s">
        <v>55</v>
      </c>
      <c r="H55" s="87">
        <v>0</v>
      </c>
      <c r="I55" s="153">
        <v>0</v>
      </c>
      <c r="J55" s="88">
        <v>0</v>
      </c>
      <c r="K55" s="181">
        <v>0</v>
      </c>
      <c r="M55" s="147"/>
      <c r="P55" s="147"/>
      <c r="Q55" s="147"/>
      <c r="R55" s="147"/>
      <c r="S55" s="147"/>
      <c r="T55" s="147"/>
      <c r="U55" s="147"/>
      <c r="V55" s="147"/>
      <c r="W55" s="147"/>
    </row>
    <row r="56" spans="7:23" ht="12.75">
      <c r="G56" s="149" t="s">
        <v>8</v>
      </c>
      <c r="H56" s="150">
        <f>SUM(H45:H55)</f>
        <v>217</v>
      </c>
      <c r="I56" s="151">
        <f>(B42+H42+N42+T42+Z42+AF42+AL42+AR42+AX42)/H56</f>
        <v>-4.330875576036866</v>
      </c>
      <c r="J56" s="152">
        <f>(F42+L42+R42+X42+AD42+AJ42+AP42+AV42+BB42)/H56</f>
        <v>23.014699223411654</v>
      </c>
      <c r="K56" s="154">
        <f>SUM(K46:K55)</f>
        <v>0.18250063506062925</v>
      </c>
      <c r="M56" s="147"/>
      <c r="O56" s="148"/>
      <c r="P56" s="147"/>
      <c r="Q56" s="147"/>
      <c r="R56" s="147"/>
      <c r="S56" s="147"/>
      <c r="T56" s="147"/>
      <c r="U56" s="147"/>
      <c r="V56" s="147"/>
      <c r="W56" s="147"/>
    </row>
    <row r="57" spans="7:23" ht="12.75">
      <c r="G57" s="22" t="s">
        <v>21</v>
      </c>
      <c r="H57" s="18"/>
      <c r="I57" s="18"/>
      <c r="J57" s="18"/>
      <c r="K57" s="18"/>
      <c r="M57" s="147"/>
      <c r="P57" s="147"/>
      <c r="Q57" s="147"/>
      <c r="R57" s="147"/>
      <c r="S57" s="147"/>
      <c r="T57" s="147"/>
      <c r="U57" s="147"/>
      <c r="V57" s="147"/>
      <c r="W57" s="147"/>
    </row>
    <row r="58" spans="7:23" ht="12.75">
      <c r="G58" s="22" t="s">
        <v>22</v>
      </c>
      <c r="H58" s="18">
        <v>228</v>
      </c>
      <c r="I58" s="18">
        <v>-5.1</v>
      </c>
      <c r="J58" s="20">
        <f>'Норма, пр 2'!D15</f>
        <v>22.769630877668995</v>
      </c>
      <c r="K58" s="114">
        <v>0.201348</v>
      </c>
      <c r="M58" s="147"/>
      <c r="N58" s="147"/>
      <c r="O58" s="148"/>
      <c r="P58" s="147"/>
      <c r="Q58" s="147"/>
      <c r="R58" s="147"/>
      <c r="S58" s="147"/>
      <c r="T58" s="147"/>
      <c r="U58" s="147"/>
      <c r="V58" s="147"/>
      <c r="W58" s="147"/>
    </row>
    <row r="59" spans="13:23" ht="17.25" customHeight="1"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</row>
    <row r="60" spans="7:23" ht="12.75">
      <c r="G60" t="s">
        <v>23</v>
      </c>
      <c r="K60" s="71">
        <f>K58-K56</f>
        <v>0.018847364939370753</v>
      </c>
      <c r="L60" t="s">
        <v>24</v>
      </c>
      <c r="M60" s="147"/>
      <c r="N60" s="147"/>
      <c r="O60" s="147"/>
      <c r="P60" s="147"/>
      <c r="Q60" s="147"/>
      <c r="R60" s="148"/>
      <c r="S60" s="147"/>
      <c r="T60" s="147"/>
      <c r="U60" s="147"/>
      <c r="V60" s="147"/>
      <c r="W60" s="147"/>
    </row>
    <row r="61" spans="13:23" ht="12.75"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</row>
    <row r="62" spans="13:23" ht="12.75"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</row>
    <row r="63" spans="13:23" ht="12.75"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</row>
    <row r="64" spans="13:23" ht="12.75"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</row>
    <row r="65" spans="13:23" ht="12.75"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</row>
    <row r="66" spans="13:23" ht="12.75"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</row>
    <row r="67" spans="13:23" ht="12.75"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</row>
    <row r="68" spans="13:23" ht="12.75"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</row>
    <row r="69" spans="13:23" ht="12.75"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</row>
    <row r="70" spans="13:23" ht="12.75"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</row>
    <row r="71" spans="13:23" ht="12.75"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</row>
    <row r="72" spans="13:23" ht="12.75"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</row>
    <row r="73" spans="13:23" ht="12.75"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</row>
    <row r="74" spans="13:23" ht="12.75"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</row>
    <row r="75" spans="13:23" ht="12.75"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</row>
    <row r="76" spans="13:23" ht="12.75"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</row>
    <row r="77" spans="13:23" ht="12.75"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</row>
    <row r="78" spans="13:23" ht="12.75"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</row>
    <row r="79" spans="13:23" ht="12.75"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</row>
    <row r="80" spans="13:23" ht="12.75"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</row>
    <row r="81" spans="13:23" ht="12.75"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</row>
    <row r="82" spans="13:23" ht="12.75"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</row>
    <row r="83" spans="13:23" ht="12.75"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</row>
    <row r="84" spans="13:23" ht="12.75"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</row>
    <row r="85" spans="13:23" ht="12.75"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</row>
    <row r="86" spans="13:23" ht="12.75"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</row>
    <row r="87" spans="13:23" ht="12.75"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</row>
    <row r="88" spans="13:23" ht="12.75"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</row>
    <row r="89" spans="13:22" ht="12.75">
      <c r="M89" s="72"/>
      <c r="N89" s="72"/>
      <c r="O89" s="147"/>
      <c r="P89" s="147"/>
      <c r="Q89" s="147"/>
      <c r="R89" s="147"/>
      <c r="S89" s="147"/>
      <c r="T89" s="147"/>
      <c r="U89" s="147"/>
      <c r="V89" s="72"/>
    </row>
    <row r="90" spans="13:22" ht="12.75">
      <c r="M90" s="72"/>
      <c r="N90" s="72"/>
      <c r="O90" s="147"/>
      <c r="P90" s="147"/>
      <c r="Q90" s="147"/>
      <c r="R90" s="147"/>
      <c r="S90" s="147"/>
      <c r="T90" s="147"/>
      <c r="U90" s="147"/>
      <c r="V90" s="72"/>
    </row>
    <row r="91" spans="13:22" ht="12.75">
      <c r="M91" s="72"/>
      <c r="N91" s="72"/>
      <c r="O91" s="147"/>
      <c r="P91" s="147"/>
      <c r="Q91" s="147"/>
      <c r="R91" s="147"/>
      <c r="S91" s="147"/>
      <c r="T91" s="147"/>
      <c r="U91" s="147"/>
      <c r="V91" s="72"/>
    </row>
    <row r="92" spans="13:22" ht="12.75">
      <c r="M92" s="72"/>
      <c r="N92" s="72"/>
      <c r="O92" s="147"/>
      <c r="P92" s="147"/>
      <c r="Q92" s="147"/>
      <c r="R92" s="147"/>
      <c r="S92" s="147"/>
      <c r="T92" s="147"/>
      <c r="U92" s="147"/>
      <c r="V92" s="72"/>
    </row>
    <row r="93" spans="13:22" ht="12.75">
      <c r="M93" s="72"/>
      <c r="N93" s="72"/>
      <c r="O93" s="147"/>
      <c r="P93" s="147"/>
      <c r="Q93" s="147"/>
      <c r="R93" s="147"/>
      <c r="S93" s="147"/>
      <c r="T93" s="147"/>
      <c r="U93" s="147"/>
      <c r="V93" s="72"/>
    </row>
    <row r="94" spans="13:22" ht="12.75">
      <c r="M94" s="72"/>
      <c r="N94" s="72"/>
      <c r="O94" s="147"/>
      <c r="P94" s="147"/>
      <c r="Q94" s="147"/>
      <c r="R94" s="147"/>
      <c r="S94" s="147"/>
      <c r="T94" s="147"/>
      <c r="U94" s="147"/>
      <c r="V94" s="72"/>
    </row>
    <row r="95" spans="13:22" ht="12.75">
      <c r="M95" s="72"/>
      <c r="N95" s="72"/>
      <c r="O95" s="147"/>
      <c r="P95" s="147"/>
      <c r="Q95" s="147"/>
      <c r="R95" s="147"/>
      <c r="S95" s="147"/>
      <c r="T95" s="147"/>
      <c r="U95" s="147"/>
      <c r="V95" s="72"/>
    </row>
    <row r="96" spans="13:22" ht="12.75">
      <c r="M96" s="72"/>
      <c r="N96" s="72"/>
      <c r="O96" s="147"/>
      <c r="P96" s="147"/>
      <c r="Q96" s="147"/>
      <c r="R96" s="147"/>
      <c r="S96" s="147"/>
      <c r="T96" s="147"/>
      <c r="U96" s="147"/>
      <c r="V96" s="72"/>
    </row>
    <row r="97" spans="14:21" ht="12.75">
      <c r="N97" s="72"/>
      <c r="O97" s="147"/>
      <c r="P97" s="147"/>
      <c r="Q97" s="147"/>
      <c r="R97" s="147"/>
      <c r="S97" s="147"/>
      <c r="T97" s="147"/>
      <c r="U97" s="147"/>
    </row>
    <row r="98" spans="15:21" ht="12.75">
      <c r="O98" s="147"/>
      <c r="P98" s="147"/>
      <c r="Q98" s="147"/>
      <c r="R98" s="147"/>
      <c r="S98" s="147"/>
      <c r="T98" s="147"/>
      <c r="U98" s="147"/>
    </row>
    <row r="99" spans="15:21" ht="12.75">
      <c r="O99" s="147"/>
      <c r="P99" s="147"/>
      <c r="Q99" s="147"/>
      <c r="R99" s="147"/>
      <c r="S99" s="147"/>
      <c r="T99" s="147"/>
      <c r="U99" s="147"/>
    </row>
    <row r="100" spans="15:21" ht="12.75">
      <c r="O100" s="147"/>
      <c r="P100" s="147"/>
      <c r="Q100" s="147"/>
      <c r="R100" s="147"/>
      <c r="S100" s="147"/>
      <c r="T100" s="147"/>
      <c r="U100" s="147"/>
    </row>
    <row r="101" spans="15:21" ht="12.75">
      <c r="O101" s="147"/>
      <c r="P101" s="147"/>
      <c r="Q101" s="147"/>
      <c r="R101" s="147"/>
      <c r="S101" s="147"/>
      <c r="T101" s="147"/>
      <c r="U101" s="147"/>
    </row>
    <row r="102" spans="15:21" ht="12.75">
      <c r="O102" s="147"/>
      <c r="P102" s="147"/>
      <c r="Q102" s="147"/>
      <c r="R102" s="147"/>
      <c r="S102" s="147"/>
      <c r="T102" s="147"/>
      <c r="U102" s="147"/>
    </row>
  </sheetData>
  <sheetProtection/>
  <mergeCells count="11">
    <mergeCell ref="A6:F6"/>
    <mergeCell ref="AQ6:AV6"/>
    <mergeCell ref="S6:X6"/>
    <mergeCell ref="Y6:AD6"/>
    <mergeCell ref="AE6:AJ6"/>
    <mergeCell ref="AK6:AP6"/>
    <mergeCell ref="AW6:BB6"/>
    <mergeCell ref="G4:L4"/>
    <mergeCell ref="G6:L6"/>
    <mergeCell ref="M6:R6"/>
    <mergeCell ref="G1:H1"/>
  </mergeCells>
  <printOptions horizontalCentered="1"/>
  <pageMargins left="0.5905511811023623" right="0.1968503937007874" top="0.35433070866141736" bottom="0.2362204724409449" header="0.2362204724409449" footer="0.3937007874015748"/>
  <pageSetup fitToHeight="2" fitToWidth="2" horizontalDpi="600" verticalDpi="600" orientation="landscape" paperSize="9" scale="65" r:id="rId2"/>
  <colBreaks count="2" manualBreakCount="2">
    <brk id="12" max="65535" man="1"/>
    <brk id="2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80" zoomScaleNormal="80" zoomScaleSheetLayoutView="100" zoomScalePageLayoutView="0" workbookViewId="0" topLeftCell="A28">
      <selection activeCell="J5" sqref="J5"/>
    </sheetView>
  </sheetViews>
  <sheetFormatPr defaultColWidth="9.00390625" defaultRowHeight="12.75"/>
  <cols>
    <col min="1" max="1" width="13.25390625" style="0" customWidth="1"/>
    <col min="2" max="2" width="11.625" style="0" customWidth="1"/>
    <col min="3" max="3" width="13.25390625" style="0" customWidth="1"/>
    <col min="4" max="4" width="13.75390625" style="0" customWidth="1"/>
    <col min="5" max="5" width="14.00390625" style="0" customWidth="1"/>
    <col min="6" max="6" width="9.625" style="0" customWidth="1"/>
    <col min="7" max="7" width="12.00390625" style="0" customWidth="1"/>
    <col min="8" max="8" width="12.125" style="0" customWidth="1"/>
    <col min="9" max="9" width="8.875" style="0" customWidth="1"/>
    <col min="10" max="10" width="10.00390625" style="0" customWidth="1"/>
    <col min="11" max="11" width="14.25390625" style="0" bestFit="1" customWidth="1"/>
    <col min="12" max="12" width="9.00390625" style="0" bestFit="1" customWidth="1"/>
    <col min="13" max="13" width="8.875" style="0" customWidth="1"/>
    <col min="14" max="14" width="13.25390625" style="0" customWidth="1"/>
  </cols>
  <sheetData>
    <row r="1" spans="1:8" ht="17.25" customHeight="1">
      <c r="A1" t="s">
        <v>52</v>
      </c>
      <c r="B1" s="34"/>
      <c r="C1" s="34"/>
      <c r="D1" s="34"/>
      <c r="E1" s="34"/>
      <c r="F1" s="34"/>
      <c r="G1" s="34"/>
      <c r="H1" s="37"/>
    </row>
    <row r="2" spans="1:8" ht="17.25" customHeight="1">
      <c r="A2" s="36" t="s">
        <v>63</v>
      </c>
      <c r="B2" s="34"/>
      <c r="C2" s="34"/>
      <c r="D2" s="34"/>
      <c r="E2" s="34"/>
      <c r="F2" s="34"/>
      <c r="G2" s="34"/>
      <c r="H2" s="37"/>
    </row>
    <row r="3" spans="2:8" ht="18" customHeight="1">
      <c r="B3" s="34"/>
      <c r="C3" s="34"/>
      <c r="D3" s="34"/>
      <c r="E3" s="34"/>
      <c r="F3" s="34"/>
      <c r="G3" s="34"/>
      <c r="H3" s="37"/>
    </row>
    <row r="4" spans="1:15" ht="60" customHeight="1">
      <c r="A4" s="38" t="s">
        <v>0</v>
      </c>
      <c r="B4" s="39" t="s">
        <v>36</v>
      </c>
      <c r="C4" s="39" t="s">
        <v>45</v>
      </c>
      <c r="D4" s="39" t="s">
        <v>46</v>
      </c>
      <c r="E4" s="13" t="s">
        <v>37</v>
      </c>
      <c r="F4" s="220"/>
      <c r="G4" s="221"/>
      <c r="H4" s="40"/>
      <c r="I4" s="41"/>
      <c r="J4" s="166"/>
      <c r="K4" s="40"/>
      <c r="L4" s="40"/>
      <c r="M4" s="40"/>
      <c r="N4" s="167"/>
      <c r="O4" s="33"/>
    </row>
    <row r="5" spans="1:15" ht="1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4"/>
      <c r="G5" s="44"/>
      <c r="H5" s="45"/>
      <c r="J5" s="44"/>
      <c r="K5" s="168"/>
      <c r="L5" s="168"/>
      <c r="M5" s="168"/>
      <c r="N5" s="168"/>
      <c r="O5" s="33"/>
    </row>
    <row r="6" spans="1:15" ht="18.75" customHeight="1">
      <c r="A6" s="46" t="s">
        <v>1</v>
      </c>
      <c r="B6" s="47">
        <v>31</v>
      </c>
      <c r="C6" s="47">
        <v>-14.9</v>
      </c>
      <c r="D6" s="172">
        <f aca="true" t="shared" si="0" ref="D6:D14">G27/B6</f>
        <v>21</v>
      </c>
      <c r="E6" s="48">
        <f>0.201348*(D6-C6)/(D15-C15)*B6/B15</f>
        <v>0.0352644730632551</v>
      </c>
      <c r="F6" s="49"/>
      <c r="G6" s="50"/>
      <c r="H6" s="192"/>
      <c r="J6" s="106"/>
      <c r="K6" s="35"/>
      <c r="L6" s="35"/>
      <c r="M6" s="66"/>
      <c r="N6" s="50"/>
      <c r="O6" s="33"/>
    </row>
    <row r="7" spans="1:15" ht="17.25" customHeight="1">
      <c r="A7" s="25" t="s">
        <v>2</v>
      </c>
      <c r="B7" s="24">
        <v>28</v>
      </c>
      <c r="C7" s="24">
        <v>-14.2</v>
      </c>
      <c r="D7" s="172">
        <f t="shared" si="0"/>
        <v>21</v>
      </c>
      <c r="E7" s="48">
        <f>0.201348*(D7-C7)/(D15-C15)*B7/B15</f>
        <v>0.031230716732091143</v>
      </c>
      <c r="F7" s="49"/>
      <c r="G7" s="50"/>
      <c r="H7" s="192"/>
      <c r="J7" s="106"/>
      <c r="K7" s="35"/>
      <c r="L7" s="35"/>
      <c r="M7" s="66"/>
      <c r="N7" s="50"/>
      <c r="O7" s="33"/>
    </row>
    <row r="8" spans="1:15" ht="17.25" customHeight="1">
      <c r="A8" s="25" t="s">
        <v>3</v>
      </c>
      <c r="B8" s="24">
        <v>31</v>
      </c>
      <c r="C8" s="24">
        <v>-7</v>
      </c>
      <c r="D8" s="172">
        <f>G29/B8</f>
        <v>21</v>
      </c>
      <c r="E8" s="48">
        <f>0.201348*(D8-C8)/(D15-C15)*B8/B15</f>
        <v>0.027504324394739356</v>
      </c>
      <c r="F8" s="49"/>
      <c r="G8" s="50"/>
      <c r="H8" s="192"/>
      <c r="J8" s="106"/>
      <c r="K8" s="35"/>
      <c r="L8" s="35"/>
      <c r="M8" s="66"/>
      <c r="N8" s="50"/>
      <c r="O8" s="33"/>
    </row>
    <row r="9" spans="1:15" ht="17.25" customHeight="1">
      <c r="A9" s="101" t="s">
        <v>4</v>
      </c>
      <c r="B9" s="102">
        <v>30</v>
      </c>
      <c r="C9" s="102">
        <v>4.4</v>
      </c>
      <c r="D9" s="65">
        <f>G30/B9</f>
        <v>25.47503279487323</v>
      </c>
      <c r="E9" s="48">
        <f>0.201348*(D9-C9)/(D15-C15)*B9/B15</f>
        <v>0.0200341430398605</v>
      </c>
      <c r="F9" s="49"/>
      <c r="G9" s="50"/>
      <c r="H9" s="192"/>
      <c r="J9" s="106"/>
      <c r="K9" s="35"/>
      <c r="L9" s="35"/>
      <c r="M9" s="66"/>
      <c r="N9" s="50"/>
      <c r="O9" s="33"/>
    </row>
    <row r="10" spans="1:15" ht="17.25" customHeight="1">
      <c r="A10" s="101" t="s">
        <v>55</v>
      </c>
      <c r="B10" s="102">
        <v>8</v>
      </c>
      <c r="C10" s="65">
        <f>(B15*C15-B14*C14-B6*C6-B7*C7-B8*C8-B9*C9-B11*C11-B12*C12-B13*C13)/B10</f>
        <v>14.887500000000012</v>
      </c>
      <c r="D10" s="65">
        <f t="shared" si="0"/>
        <v>30.963096037831583</v>
      </c>
      <c r="E10" s="48">
        <f>0.201348*(D10-C10)/(D15-C15)*B10/B15</f>
        <v>0.004075100536988998</v>
      </c>
      <c r="F10" s="49"/>
      <c r="G10" s="50"/>
      <c r="H10" s="192"/>
      <c r="J10" s="106"/>
      <c r="K10" s="35"/>
      <c r="L10" s="35"/>
      <c r="M10" s="66"/>
      <c r="N10" s="50"/>
      <c r="O10" s="33"/>
    </row>
    <row r="11" spans="1:15" ht="17.25" customHeight="1">
      <c r="A11" s="25" t="s">
        <v>48</v>
      </c>
      <c r="B11" s="24">
        <v>8</v>
      </c>
      <c r="C11" s="65">
        <v>9.8</v>
      </c>
      <c r="D11" s="65">
        <f>G32/B11</f>
        <v>28.4404399146266</v>
      </c>
      <c r="E11" s="48">
        <f>0.201348*(D11-C11)/(D15-C15)*B11/B15</f>
        <v>0.004725278398825232</v>
      </c>
      <c r="F11" s="49"/>
      <c r="G11" s="146">
        <f>(B15*(-7.4)-B6*C6-B7*C7-B8*C8-B9*C9-B12*C12-B13*C13-B14*C14)/4</f>
        <v>-81.72500000000001</v>
      </c>
      <c r="H11" s="192"/>
      <c r="J11" s="106"/>
      <c r="K11" s="35"/>
      <c r="L11" s="49"/>
      <c r="M11" s="66"/>
      <c r="N11" s="50"/>
      <c r="O11" s="33"/>
    </row>
    <row r="12" spans="1:15" ht="18" customHeight="1">
      <c r="A12" s="100" t="s">
        <v>5</v>
      </c>
      <c r="B12" s="24">
        <v>31</v>
      </c>
      <c r="C12" s="51">
        <v>3.9</v>
      </c>
      <c r="D12" s="65">
        <f t="shared" si="0"/>
        <v>25.193437698150614</v>
      </c>
      <c r="E12" s="48">
        <f>0.201348*(D12-C12)/(D15-C15)*B12/B15</f>
        <v>0.020916486354610953</v>
      </c>
      <c r="F12" s="49"/>
      <c r="G12" s="50"/>
      <c r="H12" s="192"/>
      <c r="J12" s="169"/>
      <c r="K12" s="35"/>
      <c r="L12" s="49"/>
      <c r="M12" s="66"/>
      <c r="N12" s="50"/>
      <c r="O12" s="33"/>
    </row>
    <row r="13" spans="1:15" ht="15.75" customHeight="1">
      <c r="A13" s="24" t="s">
        <v>6</v>
      </c>
      <c r="B13" s="24">
        <v>30</v>
      </c>
      <c r="C13" s="51">
        <v>-5.8</v>
      </c>
      <c r="D13" s="172">
        <f t="shared" si="0"/>
        <v>21</v>
      </c>
      <c r="E13" s="48">
        <f>0.201348*(D13-C13)/(D15-C15)*B13/B15</f>
        <v>0.025476355775772397</v>
      </c>
      <c r="F13" s="49"/>
      <c r="G13" s="50"/>
      <c r="H13" s="192"/>
      <c r="J13" s="35"/>
      <c r="K13" s="35"/>
      <c r="L13" s="49"/>
      <c r="M13" s="66"/>
      <c r="N13" s="50"/>
      <c r="O13" s="33"/>
    </row>
    <row r="14" spans="1:15" ht="17.25" customHeight="1">
      <c r="A14" s="24" t="s">
        <v>7</v>
      </c>
      <c r="B14" s="24">
        <v>31</v>
      </c>
      <c r="C14" s="51">
        <v>-11.7</v>
      </c>
      <c r="D14" s="172">
        <f t="shared" si="0"/>
        <v>21</v>
      </c>
      <c r="E14" s="48">
        <f>0.201348*(D14-C14)/(D15-C15)*B14/B15</f>
        <v>0.03212112170385632</v>
      </c>
      <c r="F14" s="49"/>
      <c r="G14" s="50"/>
      <c r="H14" s="192"/>
      <c r="J14" s="35"/>
      <c r="K14" s="35"/>
      <c r="L14" s="49"/>
      <c r="M14" s="66"/>
      <c r="N14" s="50"/>
      <c r="O14" s="33"/>
    </row>
    <row r="15" spans="1:15" ht="15.75">
      <c r="A15" s="52" t="s">
        <v>8</v>
      </c>
      <c r="B15" s="26">
        <f>SUM(B6:B14)</f>
        <v>228</v>
      </c>
      <c r="C15" s="53">
        <v>-5.1</v>
      </c>
      <c r="D15" s="95">
        <f>G36</f>
        <v>22.769630877668995</v>
      </c>
      <c r="E15" s="104">
        <f>SUM(E6:E14)</f>
        <v>0.20134800000000003</v>
      </c>
      <c r="F15" s="54"/>
      <c r="G15" s="145"/>
      <c r="H15" s="145"/>
      <c r="J15" s="170"/>
      <c r="K15" s="171"/>
      <c r="L15" s="55"/>
      <c r="M15" s="66"/>
      <c r="N15" s="145"/>
      <c r="O15" s="33"/>
    </row>
    <row r="16" spans="1:8" ht="17.25" customHeight="1">
      <c r="A16" s="35"/>
      <c r="C16" s="35"/>
      <c r="D16" s="35"/>
      <c r="E16" s="35"/>
      <c r="F16" s="35"/>
      <c r="G16" s="56"/>
      <c r="H16" s="106"/>
    </row>
    <row r="17" spans="1:7" ht="17.25" customHeight="1">
      <c r="A17" s="35"/>
      <c r="C17" s="35"/>
      <c r="D17" s="35"/>
      <c r="E17" s="35"/>
      <c r="F17" s="35"/>
      <c r="G17" s="56"/>
    </row>
    <row r="18" spans="1:7" ht="16.5" customHeight="1">
      <c r="A18" s="35"/>
      <c r="C18" s="35"/>
      <c r="D18" s="35"/>
      <c r="E18" s="35"/>
      <c r="F18" s="35"/>
      <c r="G18" s="57" t="s">
        <v>9</v>
      </c>
    </row>
    <row r="19" spans="1:7" ht="16.5" customHeight="1">
      <c r="A19" s="35"/>
      <c r="C19" s="35"/>
      <c r="D19" s="35"/>
      <c r="E19" s="35"/>
      <c r="F19" s="35"/>
      <c r="G19" s="57"/>
    </row>
    <row r="20" spans="1:7" ht="15">
      <c r="A20" s="34" t="s">
        <v>10</v>
      </c>
      <c r="B20" s="34"/>
      <c r="C20" s="34"/>
      <c r="D20" s="34"/>
      <c r="E20" s="34"/>
      <c r="F20" s="34"/>
      <c r="G20" s="34"/>
    </row>
    <row r="21" spans="1:7" ht="21" customHeight="1">
      <c r="A21" s="34" t="s">
        <v>51</v>
      </c>
      <c r="B21" s="34"/>
      <c r="C21" s="34"/>
      <c r="D21" s="34"/>
      <c r="E21" s="34"/>
      <c r="F21" s="34"/>
      <c r="G21" s="34"/>
    </row>
    <row r="22" spans="1:7" ht="48" customHeight="1">
      <c r="A22" s="39" t="s">
        <v>11</v>
      </c>
      <c r="B22" s="222" t="s">
        <v>50</v>
      </c>
      <c r="C22" s="222"/>
      <c r="D22" s="222"/>
      <c r="E22" s="222"/>
      <c r="F22" s="222" t="s">
        <v>38</v>
      </c>
      <c r="G22" s="222"/>
    </row>
    <row r="23" spans="1:7" ht="18.75">
      <c r="A23" s="39"/>
      <c r="B23" s="58" t="s">
        <v>39</v>
      </c>
      <c r="C23" s="13" t="s">
        <v>12</v>
      </c>
      <c r="D23" s="13" t="s">
        <v>40</v>
      </c>
      <c r="E23" s="58" t="s">
        <v>41</v>
      </c>
      <c r="F23" s="58" t="s">
        <v>42</v>
      </c>
      <c r="G23" s="58" t="s">
        <v>47</v>
      </c>
    </row>
    <row r="24" spans="1:7" ht="15">
      <c r="A24" s="39">
        <v>1</v>
      </c>
      <c r="B24" s="38">
        <v>2</v>
      </c>
      <c r="C24" s="39">
        <v>3</v>
      </c>
      <c r="D24" s="39">
        <v>4</v>
      </c>
      <c r="E24" s="38">
        <v>5</v>
      </c>
      <c r="F24" s="38">
        <v>6</v>
      </c>
      <c r="G24" s="38">
        <v>7</v>
      </c>
    </row>
    <row r="25" spans="1:8" ht="18.75">
      <c r="A25" s="59" t="s">
        <v>43</v>
      </c>
      <c r="B25" s="27">
        <v>-33.7</v>
      </c>
      <c r="C25" s="60">
        <f>1*(21-B25)/(21+33.7)</f>
        <v>1</v>
      </c>
      <c r="D25" s="60">
        <f>POWER(C25,0.8)</f>
        <v>1</v>
      </c>
      <c r="E25" s="95">
        <f>21+(120-0.5*95-0.5*70)*C25+0.5*(95+70-2*21)*D25</f>
        <v>120</v>
      </c>
      <c r="F25" s="27">
        <v>1</v>
      </c>
      <c r="G25" s="60">
        <f>(B25+(21-B25)*(120-B25)/(E25-B25))*F25</f>
        <v>21</v>
      </c>
      <c r="H25" s="3"/>
    </row>
    <row r="26" spans="1:8" ht="20.25" customHeight="1">
      <c r="A26" s="96" t="s">
        <v>44</v>
      </c>
      <c r="B26" s="103">
        <v>-3.419</v>
      </c>
      <c r="C26" s="97">
        <f>1*(21-B26)/(21+33.7)</f>
        <v>0.44641681901279706</v>
      </c>
      <c r="D26" s="97">
        <f>POWER(C26,0.8)</f>
        <v>0.5245567003847366</v>
      </c>
      <c r="E26" s="191">
        <f>21+(120-0.5*95-0.5*70)*C26+0.5*(95+70-2*21)*D26</f>
        <v>70.0008677866412</v>
      </c>
      <c r="F26" s="98">
        <v>1</v>
      </c>
      <c r="G26" s="99">
        <f>(B26+(21-B26)*(70-B26)/(E26-B26))*F26</f>
        <v>20.999711379458585</v>
      </c>
      <c r="H26" s="3"/>
    </row>
    <row r="27" spans="1:8" ht="21" customHeight="1">
      <c r="A27" s="25" t="s">
        <v>1</v>
      </c>
      <c r="B27" s="24">
        <f aca="true" t="shared" si="1" ref="B27:B35">C6</f>
        <v>-14.9</v>
      </c>
      <c r="C27" s="97">
        <f>1*(21-B27)/(21+33.7)</f>
        <v>0.656307129798903</v>
      </c>
      <c r="D27" s="61">
        <f>POWER(C27,0.8)</f>
        <v>0.7139794267402573</v>
      </c>
      <c r="E27" s="62">
        <f>21+(120-0.5*95-0.5*70)*C27+0.5*(95+70-2*21)*D27</f>
        <v>89.52125211198468</v>
      </c>
      <c r="F27" s="24">
        <v>31</v>
      </c>
      <c r="G27" s="63">
        <f>21*F27</f>
        <v>651</v>
      </c>
      <c r="H27" s="3"/>
    </row>
    <row r="28" spans="1:14" ht="18" customHeight="1">
      <c r="A28" s="25" t="s">
        <v>2</v>
      </c>
      <c r="B28" s="24">
        <f t="shared" si="1"/>
        <v>-14.2</v>
      </c>
      <c r="C28" s="97">
        <f aca="true" t="shared" si="2" ref="C28:C35">1*(21-B28)/(21+33.7)</f>
        <v>0.643510054844607</v>
      </c>
      <c r="D28" s="61">
        <f aca="true" t="shared" si="3" ref="D28:D35">POWER(C28,0.8)</f>
        <v>0.7028202558383471</v>
      </c>
      <c r="E28" s="62">
        <f aca="true" t="shared" si="4" ref="E28:E35">21+(120-0.5*95-0.5*70)*C28+0.5*(95+70-2*21)*D28</f>
        <v>88.3550727907311</v>
      </c>
      <c r="F28" s="24">
        <v>28</v>
      </c>
      <c r="G28" s="63">
        <f>21*F28</f>
        <v>588</v>
      </c>
      <c r="H28" s="3"/>
      <c r="N28" s="68"/>
    </row>
    <row r="29" spans="1:8" ht="18.75" customHeight="1">
      <c r="A29" s="25" t="s">
        <v>3</v>
      </c>
      <c r="B29" s="24">
        <f t="shared" si="1"/>
        <v>-7</v>
      </c>
      <c r="C29" s="97">
        <f t="shared" si="2"/>
        <v>0.5118829981718465</v>
      </c>
      <c r="D29" s="61">
        <f t="shared" si="3"/>
        <v>0.5852434529671474</v>
      </c>
      <c r="E29" s="62">
        <f t="shared" si="4"/>
        <v>76.18808478892382</v>
      </c>
      <c r="F29" s="24">
        <v>31</v>
      </c>
      <c r="G29" s="63">
        <f>21*F29</f>
        <v>651</v>
      </c>
      <c r="H29" s="3"/>
    </row>
    <row r="30" spans="1:8" ht="18.75" customHeight="1">
      <c r="A30" s="25" t="s">
        <v>4</v>
      </c>
      <c r="B30" s="24">
        <f t="shared" si="1"/>
        <v>4.4</v>
      </c>
      <c r="C30" s="97">
        <f>1*(21-B30)/(21+33.7)</f>
        <v>0.30347349177330896</v>
      </c>
      <c r="D30" s="61">
        <f t="shared" si="3"/>
        <v>0.38520916317178583</v>
      </c>
      <c r="E30" s="62">
        <f t="shared" si="4"/>
        <v>56.07061947656392</v>
      </c>
      <c r="F30" s="24">
        <v>30</v>
      </c>
      <c r="G30" s="172">
        <f>(B30+(21-B30)*(70-B30)/(E30-B30))*F30</f>
        <v>764.2509838461968</v>
      </c>
      <c r="H30" s="3"/>
    </row>
    <row r="31" spans="1:8" ht="18.75" customHeight="1">
      <c r="A31" s="25" t="s">
        <v>55</v>
      </c>
      <c r="B31" s="51">
        <f t="shared" si="1"/>
        <v>14.887500000000012</v>
      </c>
      <c r="C31" s="97">
        <f t="shared" si="2"/>
        <v>0.11174588665447875</v>
      </c>
      <c r="D31" s="61">
        <f t="shared" si="3"/>
        <v>0.17321489569366808</v>
      </c>
      <c r="E31" s="62">
        <f t="shared" si="4"/>
        <v>35.84318683470354</v>
      </c>
      <c r="F31" s="24">
        <v>8</v>
      </c>
      <c r="G31" s="172">
        <f>(B31+(21-B31)*(70-B31)/(E31-B31))*F31</f>
        <v>247.70476830265267</v>
      </c>
      <c r="H31" s="3"/>
    </row>
    <row r="32" spans="1:8" ht="18.75" customHeight="1">
      <c r="A32" s="25" t="s">
        <v>48</v>
      </c>
      <c r="B32" s="51">
        <f>C11</f>
        <v>9.8</v>
      </c>
      <c r="C32" s="97">
        <f>1*(21-B32)/(21+33.7)</f>
        <v>0.20475319926873856</v>
      </c>
      <c r="D32" s="61">
        <f t="shared" si="3"/>
        <v>0.2811800844746013</v>
      </c>
      <c r="E32" s="62">
        <f>21+(120-0.5*95-0.5*70)*C32+0.5*(95+70-2*21)*D32</f>
        <v>45.97082016776567</v>
      </c>
      <c r="F32" s="24">
        <v>8</v>
      </c>
      <c r="G32" s="172">
        <f>(B32+(21-B32)*(70-B32)/(E32-B32))*F32</f>
        <v>227.5235193170128</v>
      </c>
      <c r="H32" s="3"/>
    </row>
    <row r="33" spans="1:8" ht="21.75" customHeight="1">
      <c r="A33" s="100" t="s">
        <v>5</v>
      </c>
      <c r="B33" s="24">
        <f t="shared" si="1"/>
        <v>3.9</v>
      </c>
      <c r="C33" s="97">
        <f>1*(21-B33)/(21+33.7)</f>
        <v>0.3126142595978062</v>
      </c>
      <c r="D33" s="61">
        <f t="shared" si="3"/>
        <v>0.39446368477509614</v>
      </c>
      <c r="E33" s="62">
        <f t="shared" si="4"/>
        <v>56.98255134858614</v>
      </c>
      <c r="F33" s="24">
        <v>31</v>
      </c>
      <c r="G33" s="172">
        <f>(B33+(21-B33)*(70-B33)/(E33-B33))*F33</f>
        <v>780.996568642669</v>
      </c>
      <c r="H33" s="3"/>
    </row>
    <row r="34" spans="1:8" ht="21" customHeight="1">
      <c r="A34" s="24" t="s">
        <v>6</v>
      </c>
      <c r="B34" s="24">
        <f t="shared" si="1"/>
        <v>-5.8</v>
      </c>
      <c r="C34" s="97">
        <f t="shared" si="2"/>
        <v>0.489945155393053</v>
      </c>
      <c r="D34" s="61">
        <f t="shared" si="3"/>
        <v>0.5650904582638925</v>
      </c>
      <c r="E34" s="62">
        <f t="shared" si="4"/>
        <v>74.12600651046887</v>
      </c>
      <c r="F34" s="24">
        <v>30</v>
      </c>
      <c r="G34" s="63">
        <f>21*F34</f>
        <v>630</v>
      </c>
      <c r="H34" s="3"/>
    </row>
    <row r="35" spans="1:8" ht="18" customHeight="1">
      <c r="A35" s="24" t="s">
        <v>7</v>
      </c>
      <c r="B35" s="24">
        <f t="shared" si="1"/>
        <v>-11.7</v>
      </c>
      <c r="C35" s="97">
        <f t="shared" si="2"/>
        <v>0.5978062157221207</v>
      </c>
      <c r="D35" s="61">
        <f t="shared" si="3"/>
        <v>0.6625952848866369</v>
      </c>
      <c r="E35" s="62">
        <f t="shared" si="4"/>
        <v>84.1673431101077</v>
      </c>
      <c r="F35" s="24">
        <v>31</v>
      </c>
      <c r="G35" s="63">
        <f>21*F35</f>
        <v>651</v>
      </c>
      <c r="H35" s="3"/>
    </row>
    <row r="36" spans="1:8" ht="20.25" customHeight="1">
      <c r="A36" s="52" t="s">
        <v>8</v>
      </c>
      <c r="B36" s="53"/>
      <c r="C36" s="24"/>
      <c r="D36" s="24"/>
      <c r="E36" s="24"/>
      <c r="F36" s="26">
        <f>SUM(F27:F35)</f>
        <v>228</v>
      </c>
      <c r="G36" s="103">
        <f>SUM(G27:G35)/F36</f>
        <v>22.769630877668995</v>
      </c>
      <c r="H36" s="64"/>
    </row>
    <row r="37" spans="1:7" ht="18.75" customHeight="1">
      <c r="A37" s="24"/>
      <c r="B37" s="65"/>
      <c r="C37" s="61"/>
      <c r="D37" s="61"/>
      <c r="E37" s="62"/>
      <c r="F37" s="24"/>
      <c r="G37" s="51"/>
    </row>
    <row r="38" spans="1:7" ht="18.75" customHeight="1">
      <c r="A38" s="35"/>
      <c r="B38" s="35"/>
      <c r="C38" s="66"/>
      <c r="D38" s="66"/>
      <c r="E38" s="35"/>
      <c r="F38" s="35"/>
      <c r="G38" s="56"/>
    </row>
    <row r="39" spans="1:6" ht="17.25" customHeight="1">
      <c r="A39" s="32"/>
      <c r="B39" s="49"/>
      <c r="C39" s="45"/>
      <c r="D39" s="45"/>
      <c r="E39" s="35"/>
      <c r="F39" s="32"/>
    </row>
    <row r="40" spans="1:6" ht="38.25" customHeight="1">
      <c r="A40" s="32"/>
      <c r="B40" s="32"/>
      <c r="C40" s="32"/>
      <c r="D40" s="32"/>
      <c r="E40" s="32"/>
      <c r="F40" s="32"/>
    </row>
  </sheetData>
  <sheetProtection/>
  <mergeCells count="3">
    <mergeCell ref="F4:G4"/>
    <mergeCell ref="B22:E22"/>
    <mergeCell ref="F22:G22"/>
  </mergeCells>
  <printOptions/>
  <pageMargins left="0.76" right="0.67" top="0.51" bottom="0.18" header="0.5118110236220472" footer="0.18"/>
  <pageSetup horizontalDpi="600" verticalDpi="600" orientation="portrait" pageOrder="overThenDown" paperSize="9" r:id="rId2"/>
  <rowBreaks count="2" manualBreakCount="2">
    <brk id="37" max="6" man="1"/>
    <brk id="40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</dc:creator>
  <cp:keywords/>
  <dc:description/>
  <cp:lastModifiedBy>Пользователь Windows</cp:lastModifiedBy>
  <cp:lastPrinted>2020-05-13T05:37:43Z</cp:lastPrinted>
  <dcterms:created xsi:type="dcterms:W3CDTF">2007-09-20T11:48:59Z</dcterms:created>
  <dcterms:modified xsi:type="dcterms:W3CDTF">2022-06-08T18:42:07Z</dcterms:modified>
  <cp:category/>
  <cp:version/>
  <cp:contentType/>
  <cp:contentStatus/>
</cp:coreProperties>
</file>